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a-lc\Desktop\INVENTARIO DOS IMOVEIS 202300005020297\"/>
    </mc:Choice>
  </mc:AlternateContent>
  <xr:revisionPtr revIDLastSave="0" documentId="13_ncr:1_{D433C56A-A2E3-4EE2-8FF8-C798D8B42047}" xr6:coauthVersionLast="47" xr6:coauthVersionMax="47" xr10:uidLastSave="{00000000-0000-0000-0000-000000000000}"/>
  <bookViews>
    <workbookView xWindow="-120" yWindow="-120" windowWidth="29040" windowHeight="15720" tabRatio="500" firstSheet="1" activeTab="1" xr2:uid="{00000000-000D-0000-FFFF-FFFF00000000}"/>
  </bookViews>
  <sheets>
    <sheet name="Analítica - Imóveis Estaduais" sheetId="1" r:id="rId1"/>
    <sheet name="Analítica - Imóveis recebidos e" sheetId="2" r:id="rId2"/>
    <sheet name="Analítica - Imóveis Próprios" sheetId="3" r:id="rId3"/>
    <sheet name="Analitica- Próprios Fazenda" sheetId="4" r:id="rId4"/>
    <sheet name="Analitica - Terrenos" sheetId="5" r:id="rId5"/>
    <sheet name="Analitica - Centrer" sheetId="6" r:id="rId6"/>
    <sheet name="Analítica - Imóveis Próprios Ce" sheetId="7" r:id="rId7"/>
    <sheet name="Obras em Andamento" sheetId="8" r:id="rId8"/>
    <sheet name="Sintética 20212022" sheetId="9" r:id="rId9"/>
    <sheet name="Arquivo para SCG" sheetId="10" state="hidden" r:id="rId10"/>
    <sheet name="APOIO" sheetId="11" state="hidden" r:id="rId11"/>
    <sheet name="Sintética 2021" sheetId="12" state="hidden" r:id="rId12"/>
  </sheets>
  <definedNames>
    <definedName name="_xlnm._FilterDatabase" localSheetId="0" hidden="1">'Analítica - Imóveis Estaduais'!$A$1:$AO$4</definedName>
    <definedName name="_xlnm._FilterDatabase" localSheetId="2" hidden="1">'Analítica - Imóveis Próprios'!$A$1:$AA$41</definedName>
    <definedName name="_xlnm._FilterDatabase" localSheetId="6" hidden="1">'Analítica - Imóveis Próprios Ce'!$A$1:$W$3</definedName>
    <definedName name="_xlnm._FilterDatabase" localSheetId="1" hidden="1">'Analítica - Imóveis recebidos e'!$A$1:$AF$2</definedName>
    <definedName name="_xlnm._FilterDatabase" localSheetId="9" hidden="1">'Arquivo para SCG'!$A$1:$F$126</definedName>
  </definedName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" i="12" l="1"/>
  <c r="E4" i="12"/>
  <c r="D4" i="12"/>
  <c r="C4" i="12"/>
  <c r="B4" i="12"/>
  <c r="A4" i="12"/>
  <c r="F3" i="12"/>
  <c r="E3" i="12"/>
  <c r="D3" i="12"/>
  <c r="C3" i="12"/>
  <c r="B3" i="12"/>
  <c r="A3" i="12"/>
  <c r="F2" i="12"/>
  <c r="D2" i="12"/>
  <c r="C2" i="12"/>
  <c r="B2" i="12"/>
  <c r="A2" i="12"/>
  <c r="F1" i="12"/>
  <c r="E1" i="12"/>
  <c r="D1" i="12"/>
  <c r="C1" i="12"/>
  <c r="B1" i="12"/>
  <c r="A1" i="12"/>
  <c r="D129" i="10"/>
  <c r="C129" i="10"/>
  <c r="D128" i="10"/>
  <c r="C128" i="10"/>
  <c r="D127" i="10"/>
  <c r="C127" i="10"/>
  <c r="D126" i="10"/>
  <c r="C126" i="10"/>
  <c r="D125" i="10"/>
  <c r="C125" i="10"/>
  <c r="D124" i="10"/>
  <c r="C124" i="10"/>
  <c r="D123" i="10"/>
  <c r="C123" i="10"/>
  <c r="D122" i="10"/>
  <c r="C122" i="10"/>
  <c r="D121" i="10"/>
  <c r="C121" i="10"/>
  <c r="D120" i="10"/>
  <c r="C120" i="10"/>
  <c r="D119" i="10"/>
  <c r="C119" i="10"/>
  <c r="D118" i="10"/>
  <c r="C118" i="10"/>
  <c r="D117" i="10"/>
  <c r="C117" i="10"/>
  <c r="D116" i="10"/>
  <c r="C116" i="10"/>
  <c r="D115" i="10"/>
  <c r="C115" i="10"/>
  <c r="D114" i="10"/>
  <c r="C114" i="10"/>
  <c r="D113" i="10"/>
  <c r="C113" i="10"/>
  <c r="D112" i="10"/>
  <c r="C112" i="10"/>
  <c r="D111" i="10"/>
  <c r="C111" i="10"/>
  <c r="D110" i="10"/>
  <c r="C110" i="10"/>
  <c r="D109" i="10"/>
  <c r="C109" i="10"/>
  <c r="D108" i="10"/>
  <c r="C108" i="10"/>
  <c r="D107" i="10"/>
  <c r="C107" i="10"/>
  <c r="D106" i="10"/>
  <c r="C106" i="10"/>
  <c r="D105" i="10"/>
  <c r="C105" i="10"/>
  <c r="D104" i="10"/>
  <c r="C104" i="10"/>
  <c r="D103" i="10"/>
  <c r="C103" i="10"/>
  <c r="D102" i="10"/>
  <c r="C102" i="10"/>
  <c r="D101" i="10"/>
  <c r="C101" i="10"/>
  <c r="D100" i="10"/>
  <c r="C100" i="10"/>
  <c r="D99" i="10"/>
  <c r="C99" i="10"/>
  <c r="D98" i="10"/>
  <c r="C98" i="10"/>
  <c r="D97" i="10"/>
  <c r="C97" i="10"/>
  <c r="D96" i="10"/>
  <c r="C96" i="10"/>
  <c r="D95" i="10"/>
  <c r="C95" i="10"/>
  <c r="D94" i="10"/>
  <c r="C94" i="10"/>
  <c r="D93" i="10"/>
  <c r="C93" i="10"/>
  <c r="D92" i="10"/>
  <c r="C92" i="10"/>
  <c r="D91" i="10"/>
  <c r="C91" i="10"/>
  <c r="D90" i="10"/>
  <c r="C90" i="10"/>
  <c r="D89" i="10"/>
  <c r="C89" i="10"/>
  <c r="D88" i="10"/>
  <c r="C88" i="10"/>
  <c r="D87" i="10"/>
  <c r="C87" i="10"/>
  <c r="D86" i="10"/>
  <c r="C86" i="10"/>
  <c r="D85" i="10"/>
  <c r="C85" i="10"/>
  <c r="D84" i="10"/>
  <c r="C84" i="10"/>
  <c r="D83" i="10"/>
  <c r="C83" i="10"/>
  <c r="D82" i="10"/>
  <c r="C82" i="10"/>
  <c r="D81" i="10"/>
  <c r="C81" i="10"/>
  <c r="D80" i="10"/>
  <c r="C80" i="10"/>
  <c r="D79" i="10"/>
  <c r="C79" i="10"/>
  <c r="D78" i="10"/>
  <c r="C78" i="10"/>
  <c r="D77" i="10"/>
  <c r="C77" i="10"/>
  <c r="D76" i="10"/>
  <c r="C76" i="10"/>
  <c r="D75" i="10"/>
  <c r="C75" i="10"/>
  <c r="D74" i="10"/>
  <c r="C74" i="10"/>
  <c r="D73" i="10"/>
  <c r="C73" i="10"/>
  <c r="D72" i="10"/>
  <c r="C72" i="10"/>
  <c r="D71" i="10"/>
  <c r="C71" i="10"/>
  <c r="D70" i="10"/>
  <c r="C70" i="10"/>
  <c r="D69" i="10"/>
  <c r="C69" i="10"/>
  <c r="D68" i="10"/>
  <c r="C68" i="10"/>
  <c r="D67" i="10"/>
  <c r="C67" i="10"/>
  <c r="D66" i="10"/>
  <c r="C66" i="10"/>
  <c r="D65" i="10"/>
  <c r="C65" i="10"/>
  <c r="D64" i="10"/>
  <c r="C64" i="10"/>
  <c r="D63" i="10"/>
  <c r="C63" i="10"/>
  <c r="D62" i="10"/>
  <c r="C62" i="10"/>
  <c r="D61" i="10"/>
  <c r="C61" i="10"/>
  <c r="D60" i="10"/>
  <c r="C60" i="10"/>
  <c r="D59" i="10"/>
  <c r="C59" i="10"/>
  <c r="D58" i="10"/>
  <c r="C58" i="10"/>
  <c r="D57" i="10"/>
  <c r="C57" i="10"/>
  <c r="D56" i="10"/>
  <c r="C56" i="10"/>
  <c r="D55" i="10"/>
  <c r="C55" i="10"/>
  <c r="D54" i="10"/>
  <c r="C54" i="10"/>
  <c r="D53" i="10"/>
  <c r="C53" i="10"/>
  <c r="D52" i="10"/>
  <c r="C52" i="10"/>
  <c r="D51" i="10"/>
  <c r="C51" i="10"/>
  <c r="D50" i="10"/>
  <c r="C50" i="10"/>
  <c r="D49" i="10"/>
  <c r="C49" i="10"/>
  <c r="D48" i="10"/>
  <c r="C48" i="10"/>
  <c r="D47" i="10"/>
  <c r="C47" i="10"/>
  <c r="D46" i="10"/>
  <c r="C46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D9" i="10"/>
  <c r="C9" i="10"/>
  <c r="D8" i="10"/>
  <c r="C8" i="10"/>
  <c r="D7" i="10"/>
  <c r="C7" i="10"/>
  <c r="D6" i="10"/>
  <c r="C6" i="10"/>
  <c r="D5" i="10"/>
  <c r="C5" i="10"/>
  <c r="D4" i="10"/>
  <c r="C4" i="10"/>
  <c r="D3" i="10"/>
  <c r="C3" i="10"/>
  <c r="D2" i="10"/>
  <c r="C2" i="10"/>
  <c r="A2" i="10"/>
  <c r="B29" i="9"/>
  <c r="J28" i="9"/>
  <c r="I28" i="9"/>
  <c r="H28" i="9"/>
  <c r="F28" i="9"/>
  <c r="E28" i="9"/>
  <c r="D28" i="9"/>
  <c r="C28" i="9"/>
  <c r="B28" i="9"/>
  <c r="A28" i="9"/>
  <c r="H27" i="9"/>
  <c r="F27" i="9"/>
  <c r="E27" i="9"/>
  <c r="D27" i="9"/>
  <c r="C27" i="9"/>
  <c r="B27" i="9"/>
  <c r="A27" i="9"/>
  <c r="I26" i="9"/>
  <c r="H26" i="9"/>
  <c r="E26" i="9"/>
  <c r="D26" i="9"/>
  <c r="C26" i="9"/>
  <c r="B26" i="9"/>
  <c r="A26" i="9"/>
  <c r="G26" i="9" s="1"/>
  <c r="I25" i="9"/>
  <c r="H25" i="9"/>
  <c r="F25" i="9"/>
  <c r="E25" i="9"/>
  <c r="D25" i="9"/>
  <c r="C25" i="9"/>
  <c r="B25" i="9"/>
  <c r="A25" i="9"/>
  <c r="G25" i="9" s="1"/>
  <c r="I24" i="9"/>
  <c r="H24" i="9"/>
  <c r="E24" i="9"/>
  <c r="D24" i="9"/>
  <c r="C24" i="9"/>
  <c r="B24" i="9"/>
  <c r="A24" i="9"/>
  <c r="G24" i="9" s="1"/>
  <c r="J23" i="9"/>
  <c r="J32" i="9" s="1"/>
  <c r="I23" i="9"/>
  <c r="H23" i="9"/>
  <c r="F23" i="9"/>
  <c r="E23" i="9"/>
  <c r="D23" i="9"/>
  <c r="C23" i="9"/>
  <c r="B23" i="9"/>
  <c r="A23" i="9"/>
  <c r="G23" i="9" s="1"/>
  <c r="I22" i="9"/>
  <c r="H22" i="9"/>
  <c r="E22" i="9"/>
  <c r="D22" i="9"/>
  <c r="C22" i="9"/>
  <c r="B22" i="9"/>
  <c r="A22" i="9"/>
  <c r="G22" i="9" s="1"/>
  <c r="I11" i="9"/>
  <c r="H11" i="9"/>
  <c r="F11" i="9"/>
  <c r="E11" i="9"/>
  <c r="D11" i="9"/>
  <c r="C11" i="9"/>
  <c r="B11" i="9"/>
  <c r="I10" i="9"/>
  <c r="H10" i="9"/>
  <c r="F10" i="9"/>
  <c r="E10" i="9"/>
  <c r="D10" i="9"/>
  <c r="C10" i="9"/>
  <c r="B10" i="9"/>
  <c r="A10" i="9"/>
  <c r="G10" i="9" s="1"/>
  <c r="I9" i="9"/>
  <c r="H9" i="9"/>
  <c r="F9" i="9"/>
  <c r="E9" i="9"/>
  <c r="D9" i="9"/>
  <c r="C9" i="9"/>
  <c r="B9" i="9"/>
  <c r="A9" i="9"/>
  <c r="G9" i="9" s="1"/>
  <c r="I8" i="9"/>
  <c r="H8" i="9"/>
  <c r="F8" i="9"/>
  <c r="E8" i="9"/>
  <c r="D8" i="9"/>
  <c r="C8" i="9"/>
  <c r="B8" i="9"/>
  <c r="A8" i="9"/>
  <c r="G8" i="9" s="1"/>
  <c r="I7" i="9"/>
  <c r="H7" i="9"/>
  <c r="F7" i="9"/>
  <c r="E7" i="9"/>
  <c r="D7" i="9"/>
  <c r="C7" i="9"/>
  <c r="B7" i="9"/>
  <c r="A7" i="9"/>
  <c r="G7" i="9" s="1"/>
  <c r="I6" i="9"/>
  <c r="H6" i="9"/>
  <c r="F6" i="9"/>
  <c r="E6" i="9"/>
  <c r="D6" i="9"/>
  <c r="C6" i="9"/>
  <c r="B6" i="9"/>
  <c r="A6" i="9"/>
  <c r="G6" i="9" s="1"/>
  <c r="I5" i="9"/>
  <c r="H5" i="9"/>
  <c r="F5" i="9"/>
  <c r="E5" i="9"/>
  <c r="D5" i="9"/>
  <c r="C5" i="9"/>
  <c r="B5" i="9"/>
  <c r="A5" i="9"/>
  <c r="G5" i="9" s="1"/>
  <c r="I4" i="9"/>
  <c r="H4" i="9"/>
  <c r="F4" i="9"/>
  <c r="E4" i="9"/>
  <c r="D4" i="9"/>
  <c r="C4" i="9"/>
  <c r="B4" i="9"/>
  <c r="A4" i="9"/>
  <c r="G4" i="9" s="1"/>
  <c r="I3" i="9"/>
  <c r="H3" i="9"/>
  <c r="F3" i="9"/>
  <c r="E3" i="9"/>
  <c r="D3" i="9"/>
  <c r="C3" i="9"/>
  <c r="B3" i="9"/>
  <c r="A3" i="9"/>
  <c r="G3" i="9" s="1"/>
  <c r="I2" i="9"/>
  <c r="H2" i="9"/>
  <c r="F2" i="9"/>
  <c r="E2" i="9"/>
  <c r="D2" i="9"/>
  <c r="C2" i="9"/>
  <c r="B2" i="9"/>
  <c r="A2" i="9"/>
  <c r="G2" i="9" s="1"/>
  <c r="B4" i="8"/>
  <c r="A4" i="8"/>
  <c r="B3" i="8"/>
  <c r="A3" i="8"/>
  <c r="B2" i="8"/>
  <c r="A2" i="8"/>
  <c r="T5" i="7"/>
  <c r="X4" i="7"/>
  <c r="W3" i="7"/>
  <c r="U3" i="7"/>
  <c r="S3" i="7"/>
  <c r="R3" i="7"/>
  <c r="A3" i="7"/>
  <c r="W2" i="7"/>
  <c r="U2" i="7"/>
  <c r="S2" i="7"/>
  <c r="R2" i="7"/>
  <c r="A2" i="7"/>
  <c r="Z2" i="6"/>
  <c r="V2" i="6"/>
  <c r="X2" i="6" s="1"/>
  <c r="U2" i="6"/>
  <c r="O2" i="6"/>
  <c r="W2" i="6" s="1"/>
  <c r="M2" i="6"/>
  <c r="L2" i="6"/>
  <c r="A2" i="6"/>
  <c r="U4" i="5"/>
  <c r="Z3" i="5"/>
  <c r="U3" i="5"/>
  <c r="O3" i="5"/>
  <c r="M3" i="5"/>
  <c r="L3" i="5"/>
  <c r="A3" i="5"/>
  <c r="Z2" i="5"/>
  <c r="V2" i="5"/>
  <c r="U2" i="5"/>
  <c r="O2" i="5"/>
  <c r="X2" i="5" s="1"/>
  <c r="M2" i="5"/>
  <c r="L2" i="5"/>
  <c r="A2" i="5"/>
  <c r="N4" i="4"/>
  <c r="Z3" i="4"/>
  <c r="V3" i="4"/>
  <c r="X3" i="4" s="1"/>
  <c r="U3" i="4"/>
  <c r="A3" i="4"/>
  <c r="Z2" i="4"/>
  <c r="U2" i="4"/>
  <c r="O2" i="4"/>
  <c r="M2" i="4"/>
  <c r="L2" i="4"/>
  <c r="A2" i="4"/>
  <c r="Z56" i="3"/>
  <c r="V56" i="3"/>
  <c r="X56" i="3" s="1"/>
  <c r="U56" i="3"/>
  <c r="A56" i="3"/>
  <c r="Z55" i="3"/>
  <c r="V55" i="3"/>
  <c r="X55" i="3" s="1"/>
  <c r="U55" i="3"/>
  <c r="A55" i="3"/>
  <c r="Z54" i="3"/>
  <c r="V54" i="3"/>
  <c r="X54" i="3" s="1"/>
  <c r="U54" i="3"/>
  <c r="A54" i="3"/>
  <c r="Z53" i="3"/>
  <c r="V53" i="3"/>
  <c r="X53" i="3" s="1"/>
  <c r="U53" i="3"/>
  <c r="A53" i="3"/>
  <c r="Z52" i="3"/>
  <c r="V52" i="3"/>
  <c r="X52" i="3" s="1"/>
  <c r="U52" i="3"/>
  <c r="A52" i="3"/>
  <c r="Z51" i="3"/>
  <c r="V51" i="3"/>
  <c r="X51" i="3" s="1"/>
  <c r="U51" i="3"/>
  <c r="A51" i="3"/>
  <c r="Z50" i="3"/>
  <c r="V50" i="3"/>
  <c r="X50" i="3" s="1"/>
  <c r="U50" i="3"/>
  <c r="A50" i="3"/>
  <c r="Z49" i="3"/>
  <c r="V49" i="3"/>
  <c r="X49" i="3" s="1"/>
  <c r="U49" i="3"/>
  <c r="A49" i="3"/>
  <c r="Z48" i="3"/>
  <c r="V48" i="3"/>
  <c r="X48" i="3" s="1"/>
  <c r="U48" i="3"/>
  <c r="A48" i="3"/>
  <c r="Z47" i="3"/>
  <c r="V47" i="3"/>
  <c r="X47" i="3" s="1"/>
  <c r="U47" i="3"/>
  <c r="A47" i="3"/>
  <c r="Z46" i="3"/>
  <c r="V46" i="3"/>
  <c r="X46" i="3" s="1"/>
  <c r="U46" i="3"/>
  <c r="A46" i="3"/>
  <c r="Z45" i="3"/>
  <c r="V45" i="3"/>
  <c r="X45" i="3" s="1"/>
  <c r="U45" i="3"/>
  <c r="A45" i="3"/>
  <c r="Z44" i="3"/>
  <c r="V44" i="3"/>
  <c r="X44" i="3" s="1"/>
  <c r="U44" i="3"/>
  <c r="A44" i="3"/>
  <c r="Z43" i="3"/>
  <c r="V43" i="3"/>
  <c r="X43" i="3" s="1"/>
  <c r="U43" i="3"/>
  <c r="A43" i="3"/>
  <c r="Z42" i="3"/>
  <c r="V42" i="3"/>
  <c r="X42" i="3" s="1"/>
  <c r="U42" i="3"/>
  <c r="A42" i="3"/>
  <c r="Z41" i="3"/>
  <c r="U41" i="3"/>
  <c r="O41" i="3"/>
  <c r="M41" i="3"/>
  <c r="L41" i="3"/>
  <c r="A41" i="3"/>
  <c r="Z40" i="3"/>
  <c r="U40" i="3"/>
  <c r="O40" i="3"/>
  <c r="M40" i="3"/>
  <c r="L40" i="3"/>
  <c r="A40" i="3"/>
  <c r="Z39" i="3"/>
  <c r="U39" i="3"/>
  <c r="O39" i="3"/>
  <c r="V39" i="3" s="1"/>
  <c r="W39" i="3" s="1"/>
  <c r="M39" i="3"/>
  <c r="L39" i="3"/>
  <c r="A39" i="3"/>
  <c r="Z38" i="3"/>
  <c r="V38" i="3"/>
  <c r="W38" i="3" s="1"/>
  <c r="U38" i="3"/>
  <c r="O38" i="3"/>
  <c r="X38" i="3" s="1"/>
  <c r="M38" i="3"/>
  <c r="L38" i="3"/>
  <c r="A38" i="3"/>
  <c r="Z37" i="3"/>
  <c r="V37" i="3"/>
  <c r="X37" i="3" s="1"/>
  <c r="U37" i="3"/>
  <c r="O37" i="3"/>
  <c r="M37" i="3"/>
  <c r="L37" i="3"/>
  <c r="A37" i="3"/>
  <c r="Z36" i="3"/>
  <c r="U36" i="3"/>
  <c r="O36" i="3"/>
  <c r="M36" i="3"/>
  <c r="L36" i="3"/>
  <c r="A36" i="3"/>
  <c r="Z35" i="3"/>
  <c r="U35" i="3"/>
  <c r="O35" i="3"/>
  <c r="M35" i="3"/>
  <c r="L35" i="3"/>
  <c r="A35" i="3"/>
  <c r="Z34" i="3"/>
  <c r="U34" i="3"/>
  <c r="O34" i="3"/>
  <c r="M34" i="3"/>
  <c r="L34" i="3"/>
  <c r="A34" i="3"/>
  <c r="Z33" i="3"/>
  <c r="V33" i="3"/>
  <c r="X33" i="3" s="1"/>
  <c r="U33" i="3"/>
  <c r="O33" i="3"/>
  <c r="W33" i="3" s="1"/>
  <c r="Y33" i="3" s="1"/>
  <c r="AA33" i="3" s="1"/>
  <c r="M33" i="3"/>
  <c r="L33" i="3"/>
  <c r="A33" i="3"/>
  <c r="Z32" i="3"/>
  <c r="X32" i="3"/>
  <c r="W32" i="3"/>
  <c r="Y32" i="3" s="1"/>
  <c r="V32" i="3"/>
  <c r="U32" i="3"/>
  <c r="O32" i="3"/>
  <c r="M32" i="3"/>
  <c r="L32" i="3"/>
  <c r="A32" i="3"/>
  <c r="Z31" i="3"/>
  <c r="V31" i="3"/>
  <c r="W31" i="3" s="1"/>
  <c r="U31" i="3"/>
  <c r="O31" i="3"/>
  <c r="X31" i="3" s="1"/>
  <c r="M31" i="3"/>
  <c r="L31" i="3"/>
  <c r="A31" i="3"/>
  <c r="Z30" i="3"/>
  <c r="V30" i="3"/>
  <c r="W30" i="3" s="1"/>
  <c r="Y30" i="3" s="1"/>
  <c r="U30" i="3"/>
  <c r="O30" i="3"/>
  <c r="X30" i="3" s="1"/>
  <c r="M30" i="3"/>
  <c r="L30" i="3"/>
  <c r="A30" i="3"/>
  <c r="Z29" i="3"/>
  <c r="U29" i="3"/>
  <c r="O29" i="3"/>
  <c r="M29" i="3"/>
  <c r="L29" i="3"/>
  <c r="A29" i="3"/>
  <c r="Z28" i="3"/>
  <c r="U28" i="3"/>
  <c r="O28" i="3"/>
  <c r="M28" i="3"/>
  <c r="L28" i="3"/>
  <c r="A28" i="3"/>
  <c r="Z27" i="3"/>
  <c r="U27" i="3"/>
  <c r="O27" i="3"/>
  <c r="V27" i="3" s="1"/>
  <c r="W27" i="3" s="1"/>
  <c r="M27" i="3"/>
  <c r="L27" i="3"/>
  <c r="A27" i="3"/>
  <c r="Z26" i="3"/>
  <c r="V26" i="3"/>
  <c r="W26" i="3" s="1"/>
  <c r="U26" i="3"/>
  <c r="O26" i="3"/>
  <c r="X26" i="3" s="1"/>
  <c r="M26" i="3"/>
  <c r="L26" i="3"/>
  <c r="A26" i="3"/>
  <c r="Z25" i="3"/>
  <c r="V25" i="3"/>
  <c r="X25" i="3" s="1"/>
  <c r="U25" i="3"/>
  <c r="O25" i="3"/>
  <c r="M25" i="3"/>
  <c r="L25" i="3"/>
  <c r="A25" i="3"/>
  <c r="Z24" i="3"/>
  <c r="U24" i="3"/>
  <c r="O24" i="3"/>
  <c r="M24" i="3"/>
  <c r="L24" i="3"/>
  <c r="A24" i="3"/>
  <c r="Z23" i="3"/>
  <c r="U23" i="3"/>
  <c r="O23" i="3"/>
  <c r="M23" i="3"/>
  <c r="L23" i="3"/>
  <c r="A23" i="3"/>
  <c r="Z22" i="3"/>
  <c r="U22" i="3"/>
  <c r="O22" i="3"/>
  <c r="V22" i="3" s="1"/>
  <c r="M22" i="3"/>
  <c r="L22" i="3"/>
  <c r="A22" i="3"/>
  <c r="Z21" i="3"/>
  <c r="X21" i="3"/>
  <c r="V21" i="3"/>
  <c r="U21" i="3"/>
  <c r="O21" i="3"/>
  <c r="W21" i="3" s="1"/>
  <c r="Y21" i="3" s="1"/>
  <c r="AA21" i="3" s="1"/>
  <c r="M21" i="3"/>
  <c r="L21" i="3"/>
  <c r="A21" i="3"/>
  <c r="Z20" i="3"/>
  <c r="X20" i="3"/>
  <c r="W20" i="3"/>
  <c r="Y20" i="3" s="1"/>
  <c r="V20" i="3"/>
  <c r="U20" i="3"/>
  <c r="AA20" i="3" s="1"/>
  <c r="O20" i="3"/>
  <c r="M20" i="3"/>
  <c r="L20" i="3"/>
  <c r="A20" i="3"/>
  <c r="Z19" i="3"/>
  <c r="V19" i="3"/>
  <c r="W19" i="3" s="1"/>
  <c r="U19" i="3"/>
  <c r="O19" i="3"/>
  <c r="X19" i="3" s="1"/>
  <c r="M19" i="3"/>
  <c r="L19" i="3"/>
  <c r="A19" i="3"/>
  <c r="Z18" i="3"/>
  <c r="V18" i="3"/>
  <c r="W18" i="3" s="1"/>
  <c r="Y18" i="3" s="1"/>
  <c r="U18" i="3"/>
  <c r="O18" i="3"/>
  <c r="X18" i="3" s="1"/>
  <c r="M18" i="3"/>
  <c r="L18" i="3"/>
  <c r="A18" i="3"/>
  <c r="Z17" i="3"/>
  <c r="U17" i="3"/>
  <c r="O17" i="3"/>
  <c r="M17" i="3"/>
  <c r="L17" i="3"/>
  <c r="A17" i="3"/>
  <c r="Z16" i="3"/>
  <c r="U16" i="3"/>
  <c r="O16" i="3"/>
  <c r="M16" i="3"/>
  <c r="L16" i="3"/>
  <c r="A16" i="3"/>
  <c r="Z15" i="3"/>
  <c r="U15" i="3"/>
  <c r="O15" i="3"/>
  <c r="V15" i="3" s="1"/>
  <c r="W15" i="3" s="1"/>
  <c r="M15" i="3"/>
  <c r="L15" i="3"/>
  <c r="A15" i="3"/>
  <c r="Z14" i="3"/>
  <c r="V14" i="3"/>
  <c r="X14" i="3" s="1"/>
  <c r="U14" i="3"/>
  <c r="O14" i="3"/>
  <c r="M14" i="3"/>
  <c r="L14" i="3"/>
  <c r="A14" i="3"/>
  <c r="Z13" i="3"/>
  <c r="V13" i="3"/>
  <c r="X13" i="3" s="1"/>
  <c r="U13" i="3"/>
  <c r="O13" i="3"/>
  <c r="M13" i="3"/>
  <c r="L13" i="3"/>
  <c r="A13" i="3"/>
  <c r="Z12" i="3"/>
  <c r="U12" i="3"/>
  <c r="O12" i="3"/>
  <c r="M12" i="3"/>
  <c r="L12" i="3"/>
  <c r="A12" i="3"/>
  <c r="Z11" i="3"/>
  <c r="U11" i="3"/>
  <c r="O11" i="3"/>
  <c r="M11" i="3"/>
  <c r="L11" i="3"/>
  <c r="A11" i="3"/>
  <c r="Z10" i="3"/>
  <c r="U10" i="3"/>
  <c r="O10" i="3"/>
  <c r="V10" i="3" s="1"/>
  <c r="M10" i="3"/>
  <c r="L10" i="3"/>
  <c r="A10" i="3"/>
  <c r="Z9" i="3"/>
  <c r="X9" i="3"/>
  <c r="V9" i="3"/>
  <c r="U9" i="3"/>
  <c r="O9" i="3"/>
  <c r="W9" i="3" s="1"/>
  <c r="Y9" i="3" s="1"/>
  <c r="AA9" i="3" s="1"/>
  <c r="M9" i="3"/>
  <c r="L9" i="3"/>
  <c r="A9" i="3"/>
  <c r="Z8" i="3"/>
  <c r="X8" i="3"/>
  <c r="W8" i="3"/>
  <c r="Y8" i="3" s="1"/>
  <c r="V8" i="3"/>
  <c r="U8" i="3"/>
  <c r="O8" i="3"/>
  <c r="M8" i="3"/>
  <c r="L8" i="3"/>
  <c r="A8" i="3"/>
  <c r="Z7" i="3"/>
  <c r="V7" i="3"/>
  <c r="W7" i="3" s="1"/>
  <c r="Y7" i="3" s="1"/>
  <c r="AA7" i="3" s="1"/>
  <c r="U7" i="3"/>
  <c r="O7" i="3"/>
  <c r="X7" i="3" s="1"/>
  <c r="M7" i="3"/>
  <c r="L7" i="3"/>
  <c r="A7" i="3"/>
  <c r="Z6" i="3"/>
  <c r="V6" i="3"/>
  <c r="W6" i="3" s="1"/>
  <c r="U6" i="3"/>
  <c r="O6" i="3"/>
  <c r="X6" i="3" s="1"/>
  <c r="M6" i="3"/>
  <c r="L6" i="3"/>
  <c r="A6" i="3"/>
  <c r="Z5" i="3"/>
  <c r="U5" i="3"/>
  <c r="O5" i="3"/>
  <c r="M5" i="3"/>
  <c r="L5" i="3"/>
  <c r="A5" i="3"/>
  <c r="Z4" i="3"/>
  <c r="U4" i="3"/>
  <c r="O4" i="3"/>
  <c r="M4" i="3"/>
  <c r="L4" i="3"/>
  <c r="A4" i="3"/>
  <c r="Z3" i="3"/>
  <c r="U3" i="3"/>
  <c r="O3" i="3"/>
  <c r="V3" i="3" s="1"/>
  <c r="M3" i="3"/>
  <c r="L3" i="3"/>
  <c r="A3" i="3"/>
  <c r="Z2" i="3"/>
  <c r="V2" i="3"/>
  <c r="X2" i="3" s="1"/>
  <c r="U2" i="3"/>
  <c r="U62" i="3" s="1"/>
  <c r="O2" i="3"/>
  <c r="M2" i="3"/>
  <c r="L2" i="3"/>
  <c r="A2" i="3"/>
  <c r="AE2" i="2"/>
  <c r="AA2" i="2"/>
  <c r="AC2" i="2" s="1"/>
  <c r="Z2" i="2"/>
  <c r="T2" i="2"/>
  <c r="R2" i="2"/>
  <c r="A2" i="2"/>
  <c r="AN4" i="1"/>
  <c r="AI4" i="1"/>
  <c r="AB4" i="1"/>
  <c r="AN3" i="1"/>
  <c r="AI3" i="1"/>
  <c r="AB3" i="1"/>
  <c r="AN2" i="1"/>
  <c r="AL2" i="1"/>
  <c r="AK2" i="1"/>
  <c r="AM2" i="1" s="1"/>
  <c r="AJ2" i="1"/>
  <c r="AI2" i="1"/>
  <c r="AB2" i="1"/>
  <c r="E31" i="9" l="1"/>
  <c r="F13" i="9"/>
  <c r="H13" i="9"/>
  <c r="I13" i="9"/>
  <c r="F31" i="9"/>
  <c r="H31" i="9"/>
  <c r="I31" i="9"/>
  <c r="E13" i="9"/>
  <c r="X36" i="3"/>
  <c r="AA6" i="3"/>
  <c r="W4" i="3"/>
  <c r="Y6" i="3"/>
  <c r="AA13" i="3"/>
  <c r="W40" i="3"/>
  <c r="Y40" i="3" s="1"/>
  <c r="AA40" i="3" s="1"/>
  <c r="AO2" i="1"/>
  <c r="AA8" i="3"/>
  <c r="Y15" i="3"/>
  <c r="X17" i="3"/>
  <c r="Y31" i="3"/>
  <c r="AA31" i="3" s="1"/>
  <c r="Y38" i="3"/>
  <c r="AA38" i="3" s="1"/>
  <c r="V4" i="5"/>
  <c r="Y2" i="6"/>
  <c r="AA15" i="3"/>
  <c r="X22" i="3"/>
  <c r="W22" i="3"/>
  <c r="Y22" i="3" s="1"/>
  <c r="AA22" i="3" s="1"/>
  <c r="X24" i="3"/>
  <c r="AA55" i="3"/>
  <c r="AA2" i="6"/>
  <c r="X3" i="3"/>
  <c r="W3" i="3"/>
  <c r="Y3" i="3" s="1"/>
  <c r="X5" i="3"/>
  <c r="Y19" i="3"/>
  <c r="AA19" i="3" s="1"/>
  <c r="AA3" i="3"/>
  <c r="X10" i="3"/>
  <c r="W10" i="3"/>
  <c r="X12" i="3"/>
  <c r="Y26" i="3"/>
  <c r="AA26" i="3" s="1"/>
  <c r="AA30" i="3"/>
  <c r="AA50" i="3"/>
  <c r="AA53" i="3"/>
  <c r="AA56" i="3"/>
  <c r="AL3" i="1"/>
  <c r="AA32" i="3"/>
  <c r="AA18" i="3"/>
  <c r="W2" i="3"/>
  <c r="Y2" i="3" s="1"/>
  <c r="AA2" i="3" s="1"/>
  <c r="W14" i="3"/>
  <c r="Y14" i="3" s="1"/>
  <c r="AA14" i="3" s="1"/>
  <c r="X15" i="3"/>
  <c r="X27" i="3"/>
  <c r="Y27" i="3" s="1"/>
  <c r="AA27" i="3" s="1"/>
  <c r="X39" i="3"/>
  <c r="Y39" i="3" s="1"/>
  <c r="AA39" i="3" s="1"/>
  <c r="AB2" i="2"/>
  <c r="AD2" i="2" s="1"/>
  <c r="AF2" i="2" s="1"/>
  <c r="V12" i="3"/>
  <c r="W13" i="3"/>
  <c r="Y13" i="3" s="1"/>
  <c r="V24" i="3"/>
  <c r="W24" i="3" s="1"/>
  <c r="Y24" i="3" s="1"/>
  <c r="AA24" i="3" s="1"/>
  <c r="W25" i="3"/>
  <c r="Y25" i="3" s="1"/>
  <c r="AA25" i="3" s="1"/>
  <c r="V36" i="3"/>
  <c r="W37" i="3"/>
  <c r="Y37" i="3" s="1"/>
  <c r="AA37" i="3" s="1"/>
  <c r="W43" i="3"/>
  <c r="Y43" i="3" s="1"/>
  <c r="AA43" i="3" s="1"/>
  <c r="W46" i="3"/>
  <c r="Y46" i="3" s="1"/>
  <c r="AA46" i="3" s="1"/>
  <c r="W49" i="3"/>
  <c r="Y49" i="3" s="1"/>
  <c r="AA49" i="3" s="1"/>
  <c r="W52" i="3"/>
  <c r="Y52" i="3" s="1"/>
  <c r="AA52" i="3" s="1"/>
  <c r="W55" i="3"/>
  <c r="Y55" i="3" s="1"/>
  <c r="AJ3" i="1"/>
  <c r="AK3" i="1" s="1"/>
  <c r="AM3" i="1" s="1"/>
  <c r="V23" i="3"/>
  <c r="X23" i="3" s="1"/>
  <c r="V35" i="3"/>
  <c r="X35" i="3" s="1"/>
  <c r="W36" i="3"/>
  <c r="X4" i="3"/>
  <c r="V11" i="3"/>
  <c r="X11" i="3" s="1"/>
  <c r="W12" i="3"/>
  <c r="AI6" i="1"/>
  <c r="AI8" i="1" s="1"/>
  <c r="V34" i="3"/>
  <c r="W34" i="3" s="1"/>
  <c r="V3" i="5"/>
  <c r="W3" i="5" s="1"/>
  <c r="W42" i="3"/>
  <c r="Y42" i="3" s="1"/>
  <c r="AA42" i="3" s="1"/>
  <c r="W45" i="3"/>
  <c r="Y45" i="3" s="1"/>
  <c r="AA45" i="3" s="1"/>
  <c r="W48" i="3"/>
  <c r="Y48" i="3" s="1"/>
  <c r="AA48" i="3" s="1"/>
  <c r="W51" i="3"/>
  <c r="Y51" i="3" s="1"/>
  <c r="AA51" i="3" s="1"/>
  <c r="W54" i="3"/>
  <c r="Y54" i="3" s="1"/>
  <c r="AA54" i="3" s="1"/>
  <c r="W3" i="4"/>
  <c r="Y3" i="4" s="1"/>
  <c r="AA3" i="4" s="1"/>
  <c r="W2" i="5"/>
  <c r="Y2" i="5" s="1"/>
  <c r="V5" i="3"/>
  <c r="V2" i="4"/>
  <c r="X2" i="4" s="1"/>
  <c r="V17" i="3"/>
  <c r="W17" i="3" s="1"/>
  <c r="Y17" i="3" s="1"/>
  <c r="AA17" i="3" s="1"/>
  <c r="V29" i="3"/>
  <c r="X29" i="3" s="1"/>
  <c r="V41" i="3"/>
  <c r="X41" i="3" s="1"/>
  <c r="AJ4" i="1"/>
  <c r="AL4" i="1" s="1"/>
  <c r="V28" i="3"/>
  <c r="X28" i="3" s="1"/>
  <c r="V40" i="3"/>
  <c r="X40" i="3" s="1"/>
  <c r="W41" i="3"/>
  <c r="W44" i="3"/>
  <c r="Y44" i="3" s="1"/>
  <c r="AA44" i="3" s="1"/>
  <c r="W47" i="3"/>
  <c r="Y47" i="3" s="1"/>
  <c r="AA47" i="3" s="1"/>
  <c r="W50" i="3"/>
  <c r="Y50" i="3" s="1"/>
  <c r="W53" i="3"/>
  <c r="Y53" i="3" s="1"/>
  <c r="W56" i="3"/>
  <c r="Y56" i="3" s="1"/>
  <c r="W2" i="4"/>
  <c r="V4" i="3"/>
  <c r="W5" i="3"/>
  <c r="V16" i="3"/>
  <c r="X16" i="3" s="1"/>
  <c r="AL6" i="1" l="1"/>
  <c r="AO3" i="1"/>
  <c r="Y41" i="3"/>
  <c r="AA41" i="3" s="1"/>
  <c r="W29" i="3"/>
  <c r="Y29" i="3" s="1"/>
  <c r="AA29" i="3" s="1"/>
  <c r="Y5" i="3"/>
  <c r="AA5" i="3" s="1"/>
  <c r="AK4" i="1"/>
  <c r="AM4" i="1" s="1"/>
  <c r="AO4" i="1" s="1"/>
  <c r="AO6" i="1" s="1"/>
  <c r="W35" i="3"/>
  <c r="Y35" i="3" s="1"/>
  <c r="AA35" i="3" s="1"/>
  <c r="W11" i="3"/>
  <c r="Y11" i="3" s="1"/>
  <c r="AA11" i="3" s="1"/>
  <c r="W28" i="3"/>
  <c r="Y28" i="3" s="1"/>
  <c r="AA28" i="3" s="1"/>
  <c r="Y2" i="4"/>
  <c r="AA2" i="4" s="1"/>
  <c r="Y12" i="3"/>
  <c r="AA12" i="3" s="1"/>
  <c r="Y4" i="3"/>
  <c r="AA4" i="3" s="1"/>
  <c r="W16" i="3"/>
  <c r="Y16" i="3" s="1"/>
  <c r="AA16" i="3" s="1"/>
  <c r="AA2" i="5"/>
  <c r="Y36" i="3"/>
  <c r="AA36" i="3" s="1"/>
  <c r="W23" i="3"/>
  <c r="Y23" i="3" s="1"/>
  <c r="AA23" i="3" s="1"/>
  <c r="X3" i="5"/>
  <c r="X4" i="5" s="1"/>
  <c r="Y10" i="3"/>
  <c r="AA10" i="3" s="1"/>
  <c r="X34" i="3"/>
  <c r="Y34" i="3" s="1"/>
  <c r="AA34" i="3" s="1"/>
  <c r="Y3" i="5" l="1"/>
  <c r="AM6" i="1"/>
  <c r="AA3" i="5" l="1"/>
  <c r="AA4" i="5" s="1"/>
  <c r="Y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  <charset val="1"/>
          </rPr>
          <t>Código Identificador do Patrimônio Estadual.
Este código é atribuído pela Superintendência Central de Patrimônio.
Campo não editável.</t>
        </r>
      </text>
    </comment>
  </commentList>
</comments>
</file>

<file path=xl/sharedStrings.xml><?xml version="1.0" encoding="utf-8"?>
<sst xmlns="http://schemas.openxmlformats.org/spreadsheetml/2006/main" count="1279" uniqueCount="692">
  <si>
    <t>CIPE (Códico do Imóvel)</t>
  </si>
  <si>
    <t>Município</t>
  </si>
  <si>
    <t>Matrícula/ Transcrição</t>
  </si>
  <si>
    <t xml:space="preserve"> CRI</t>
  </si>
  <si>
    <t>Ativo/Inativo</t>
  </si>
  <si>
    <t>Área da Certidão
(m² ou ha)</t>
  </si>
  <si>
    <t>Data da Aquisição ou Incorporação</t>
  </si>
  <si>
    <t>Valor de Aquisição</t>
  </si>
  <si>
    <t>Termos - Data Inicial</t>
  </si>
  <si>
    <t>Termos- Data Final</t>
  </si>
  <si>
    <t>Termos - Tipos</t>
  </si>
  <si>
    <t>Termos - Número</t>
  </si>
  <si>
    <t>Termos - Observações</t>
  </si>
  <si>
    <t>Termos - Processo</t>
  </si>
  <si>
    <t>Imóvel com Interesse ou Tombamento Cultural</t>
  </si>
  <si>
    <t xml:space="preserve"> Denominação do Imóvel</t>
  </si>
  <si>
    <t xml:space="preserve"> Endereço do Imóvel</t>
  </si>
  <si>
    <t xml:space="preserve"> Tipo do Imóvel</t>
  </si>
  <si>
    <t>Ocupação/ Edificação do Terreno</t>
  </si>
  <si>
    <t>013 - Destinação/Construção Original do imóvel</t>
  </si>
  <si>
    <t>018- Tipo de Ocupação</t>
  </si>
  <si>
    <t>Imóvel com uso compartilhado</t>
  </si>
  <si>
    <t>Área (estimada) ocupada pelo órgão</t>
  </si>
  <si>
    <t>LINK DRIVE</t>
  </si>
  <si>
    <t>Órgão Público Inventariante</t>
  </si>
  <si>
    <t>Código do Órgão Inventariante</t>
  </si>
  <si>
    <t>Valor Inventário 2021 (TCE)</t>
  </si>
  <si>
    <t>Código Patrimonial</t>
  </si>
  <si>
    <t>Descrição do Código Patrimonial</t>
  </si>
  <si>
    <t>Confirmação da Posse</t>
  </si>
  <si>
    <t>Reavaliação em 2022?</t>
  </si>
  <si>
    <t>Valor Terreno 2022</t>
  </si>
  <si>
    <t>Valor Edificação 2022</t>
  </si>
  <si>
    <t>Valor de incorporação de obra</t>
  </si>
  <si>
    <t>Valor Bruto Contábil</t>
  </si>
  <si>
    <t>Valor Residual (20%)</t>
  </si>
  <si>
    <t>Qtd. de meses de depreciação</t>
  </si>
  <si>
    <t>Depreciação mensal</t>
  </si>
  <si>
    <t>Depreciação acumulada</t>
  </si>
  <si>
    <t>Código Patrimonial de Depreciação</t>
  </si>
  <si>
    <t>Valor contábil líquido</t>
  </si>
  <si>
    <t>1.0032.00010</t>
  </si>
  <si>
    <t>Bela Vista de Goiás</t>
  </si>
  <si>
    <t>CRI</t>
  </si>
  <si>
    <t>ATIVO</t>
  </si>
  <si>
    <t>833,00</t>
  </si>
  <si>
    <t>13/06/77</t>
  </si>
  <si>
    <t>Não</t>
  </si>
  <si>
    <t>EMATER</t>
  </si>
  <si>
    <t xml:space="preserve">  R. Adélino Roque
Bela Vista de Goiás - GO
</t>
  </si>
  <si>
    <t>Urbano</t>
  </si>
  <si>
    <t>Edificado</t>
  </si>
  <si>
    <t>Unidade Administrativa</t>
  </si>
  <si>
    <t>NÃO</t>
  </si>
  <si>
    <t>https://drive.google.com/drive/folders/1ZNl3cvyetQWB4Pr-xOJugeyYq_LPiu4S?usp=sharing</t>
  </si>
  <si>
    <t>OUTROS BENS IMÓVEIS - USO ESPECIAL</t>
  </si>
  <si>
    <t>SIM</t>
  </si>
  <si>
    <t>1.0191.00019</t>
  </si>
  <si>
    <t>Porangatu</t>
  </si>
  <si>
    <t>225,00</t>
  </si>
  <si>
    <t>12/04/93</t>
  </si>
  <si>
    <t>EMATER - Unidade Porangatu</t>
  </si>
  <si>
    <t>Rua 17, nº 18, Qd. 02, Lt. parte do lote 21 e 22, Vila Mércia, Porangatu-GO</t>
  </si>
  <si>
    <t>https://drive.google.com/drive/folders/1uYLZzj5ESc1sRZR02q0YmuR0gRjIetbu?usp=sharing</t>
  </si>
  <si>
    <t>1.0176.00014</t>
  </si>
  <si>
    <t>Palmeiras de Goiás</t>
  </si>
  <si>
    <t>962,00</t>
  </si>
  <si>
    <t>19/03/76</t>
  </si>
  <si>
    <t>Av. Humberto Mendonça, nº 200, Centro, Palmeiras de Goiás-GO</t>
  </si>
  <si>
    <t>https://drive.google.com/drive/folders/1rXOmMhrB9zjgsHaDWplG1rvvIBMVtEzC?usp=sharing</t>
  </si>
  <si>
    <t>Piracanjuba</t>
  </si>
  <si>
    <t>CIPE (Código do Imóvel)</t>
  </si>
  <si>
    <t>Área 
(m² ou ha)</t>
  </si>
  <si>
    <t>Data da Incorporação</t>
  </si>
  <si>
    <t>Valor de Incorporação</t>
  </si>
  <si>
    <t>Termos - Data Final</t>
  </si>
  <si>
    <t xml:space="preserve">Termos - Tipo </t>
  </si>
  <si>
    <t>Denominação do Imóvel</t>
  </si>
  <si>
    <t>Endereço do Imóvel</t>
  </si>
  <si>
    <t>Tipo do Imóvel</t>
  </si>
  <si>
    <t>Valor Terreno</t>
  </si>
  <si>
    <t>Valor Edificação</t>
  </si>
  <si>
    <t>125,58m²</t>
  </si>
  <si>
    <t>-</t>
  </si>
  <si>
    <t>Cessão de Uso</t>
  </si>
  <si>
    <t>005/2014</t>
  </si>
  <si>
    <t>Estado de Goiás x EMATER</t>
  </si>
  <si>
    <t>Escritório Local da EMATER</t>
  </si>
  <si>
    <t>Entre as Ruas Percival Rebelo e Tiradentes, qd. 23, lt. 01, Setor Central</t>
  </si>
  <si>
    <t>SALAS E ESCRITÓRIOS - USO ESPECIAL</t>
  </si>
  <si>
    <t>Valor Inventário 2021</t>
  </si>
  <si>
    <t>Alexânia</t>
  </si>
  <si>
    <t>450m²</t>
  </si>
  <si>
    <t>Rua João Botelho de Andrade, qd. 85, lt. 15, Setor Nova Flórida</t>
  </si>
  <si>
    <t>Alto Paraíso de Goiás</t>
  </si>
  <si>
    <t>1023m²</t>
  </si>
  <si>
    <t>Rua das Araras, qd. 24, lt. 18, Núcleo Urbano</t>
  </si>
  <si>
    <t>Não Consta</t>
  </si>
  <si>
    <t>Alvorada do Norte</t>
  </si>
  <si>
    <t>558m²</t>
  </si>
  <si>
    <t>Rua Francisco Mota Lima, qd. B, lt. 13, Setor Alvoradinha</t>
  </si>
  <si>
    <t>Anicuns</t>
  </si>
  <si>
    <t>306m²</t>
  </si>
  <si>
    <t>Av. Paulo Alves, nº 1043, Centro</t>
  </si>
  <si>
    <t>Araçu</t>
  </si>
  <si>
    <t>368,20m²</t>
  </si>
  <si>
    <t>Rua Pará, esquina com Av. Sebastiana Marcelina Pires, nº 1, Centro</t>
  </si>
  <si>
    <t>Barro Alto</t>
  </si>
  <si>
    <t>800m²</t>
  </si>
  <si>
    <t>Rua São Paulo, nº 184, qd. 31, lt. 7, Centro</t>
  </si>
  <si>
    <t>Bom Jardim de Goiás</t>
  </si>
  <si>
    <t>437,50m²</t>
  </si>
  <si>
    <t>Av. Joaquim Carlos Garcia, nº 145, qd. 3, lt. 33, Centro</t>
  </si>
  <si>
    <t>Bom Jesus de Goiás</t>
  </si>
  <si>
    <t>499,20m²</t>
  </si>
  <si>
    <t>Rua Um, nº 147, qd. 9, lt. 1, Centro</t>
  </si>
  <si>
    <t>Cachoeira Alta</t>
  </si>
  <si>
    <t>480m²</t>
  </si>
  <si>
    <t>Rua Cel. Seabra, nº 92, qd. 22, lt. 7407</t>
  </si>
  <si>
    <t>Caçu</t>
  </si>
  <si>
    <t>377m²</t>
  </si>
  <si>
    <t>Rua Paula e Silva, nº 420, qd. 17, lt. J-2, Centro</t>
  </si>
  <si>
    <t>Campos Belos</t>
  </si>
  <si>
    <t>337,50m²</t>
  </si>
  <si>
    <t>Rua Desembargador Rivadávia Licínio de Miranda, qd. H, lt. 8, Vila Baiana</t>
  </si>
  <si>
    <t>Carmo do Rio Verde</t>
  </si>
  <si>
    <t>Rua Anestar Clemente, nº 126, Centro</t>
  </si>
  <si>
    <t>Ceres</t>
  </si>
  <si>
    <t>1150,47m²</t>
  </si>
  <si>
    <t>Escritório Regional e Local da EMATER</t>
  </si>
  <si>
    <t>Rua 05, nº 307, Centro</t>
  </si>
  <si>
    <t>Goiás</t>
  </si>
  <si>
    <t>2348,92m²</t>
  </si>
  <si>
    <t>Rua Edgar Camelo c/ Bom Pastor, qd. 4, lt. 1, Chapéu de Padre</t>
  </si>
  <si>
    <t>Crixás</t>
  </si>
  <si>
    <t>522m²</t>
  </si>
  <si>
    <t>Rua Rusolino de Azevedo, qd. 8, lt. 13, Centro</t>
  </si>
  <si>
    <t>Colinas do Sul</t>
  </si>
  <si>
    <t>320,25m²</t>
  </si>
  <si>
    <t>Rua Juscelino Kubitschek, qd. 46, lt. 3, Centro</t>
  </si>
  <si>
    <t>Damolândia</t>
  </si>
  <si>
    <t>536,93m²</t>
  </si>
  <si>
    <t>Praça Possidônio de Lima, nº 46, qd. 18, lt. 17, Centro</t>
  </si>
  <si>
    <t>Fazenda Nova</t>
  </si>
  <si>
    <t>360m²</t>
  </si>
  <si>
    <t>Av. Goiás, qd. 34, lt. 14, Centro</t>
  </si>
  <si>
    <t>Formoso</t>
  </si>
  <si>
    <t>609m²</t>
  </si>
  <si>
    <t>Av. José Alves de Araújo, qd. 21, lt. 8, Centro</t>
  </si>
  <si>
    <t>Goianésia</t>
  </si>
  <si>
    <t>384,50m²</t>
  </si>
  <si>
    <t>Rua 31, nº 410, Qd. 178, lt. 21, Centro</t>
  </si>
  <si>
    <t>Guapó</t>
  </si>
  <si>
    <t>589m²</t>
  </si>
  <si>
    <t>Rua São Salvador, nº 495, qd. 15, lt. 3</t>
  </si>
  <si>
    <t>Ipameri</t>
  </si>
  <si>
    <t>127,50m²</t>
  </si>
  <si>
    <t>Rua Marechal Floriano Peixoto, nº 39, Centro</t>
  </si>
  <si>
    <t>Itaberaí</t>
  </si>
  <si>
    <t>243,93m²</t>
  </si>
  <si>
    <t>Praça da Saudade, Centro</t>
  </si>
  <si>
    <t>Itapaci</t>
  </si>
  <si>
    <t>Rua Santos Dumont, nº 37, qd. 78, lt. 911, Centro</t>
  </si>
  <si>
    <t>Itapirapuã</t>
  </si>
  <si>
    <t>756m²</t>
  </si>
  <si>
    <t>Rua 15 de Novembro, nº 35, Centro</t>
  </si>
  <si>
    <t>Itapuranga</t>
  </si>
  <si>
    <t>Rua 47-A, nº 370, qd. 12, lt. 4, Centro</t>
  </si>
  <si>
    <t>Itumbiara</t>
  </si>
  <si>
    <t>574,72m²</t>
  </si>
  <si>
    <t>Rua Marechal Deodoro, nº 180, qd. 4,lt. 1, Centro</t>
  </si>
  <si>
    <t>Jataí</t>
  </si>
  <si>
    <t>478,50m²</t>
  </si>
  <si>
    <t>Avenida Goiás, nº 423, qd. 3, lt. 19, Centro</t>
  </si>
  <si>
    <t>Jandaia</t>
  </si>
  <si>
    <t>201,60m²</t>
  </si>
  <si>
    <t>Rua Joaquim Maria Filho, qd. 6, lt. 5, Centro</t>
  </si>
  <si>
    <t>Jussara</t>
  </si>
  <si>
    <t>415,18m²</t>
  </si>
  <si>
    <t>Rua W-3, nº 50, qd. 4, lt. 2, São Francisci</t>
  </si>
  <si>
    <t>Leopoldo de Bulhões</t>
  </si>
  <si>
    <t>902 / 7125</t>
  </si>
  <si>
    <t>300m²</t>
  </si>
  <si>
    <t>Rua Mário Rodrigues da Paixão, nº 350, qd. 2, lt. 2, Centro</t>
  </si>
  <si>
    <t>Mara Rosa</t>
  </si>
  <si>
    <t>445,50m²</t>
  </si>
  <si>
    <t>Av. Pedro Ludovico esq. com Rua São Paulo, qd. 34, lt. 13, Centro</t>
  </si>
  <si>
    <t>Mineiros</t>
  </si>
  <si>
    <t>2ª Avenida, nº 78, qd. 26, lts. 16 e 17, Centro</t>
  </si>
  <si>
    <t>Morrinhos</t>
  </si>
  <si>
    <t>507m²</t>
  </si>
  <si>
    <t>Rua 210, qd. 17, lt. 16, Setor Aeroporto</t>
  </si>
  <si>
    <t>Morro Agudo de Goiás</t>
  </si>
  <si>
    <t>Rua Cipreste, qd. 28, lt. 3, Bairro Rodoviária</t>
  </si>
  <si>
    <t>Montes Claros de Goiás</t>
  </si>
  <si>
    <t>Avenida Presidente Vargas, qd. 10, lt. 166, Centro</t>
  </si>
  <si>
    <t>Mozarlândia</t>
  </si>
  <si>
    <t>525m²</t>
  </si>
  <si>
    <t>Rua Brasil Ramos Caiado, nº 515, ad. 35, lt. 5, Centro</t>
  </si>
  <si>
    <t>Nova Veneza</t>
  </si>
  <si>
    <t>Avenida Vereador José Francisco da Silva, nº 38, Centro</t>
  </si>
  <si>
    <t>Orizona</t>
  </si>
  <si>
    <t>396m²</t>
  </si>
  <si>
    <t>Rua Dom Emanuel, nº 14, qd. 0, lt. AI 3, Centro</t>
  </si>
  <si>
    <t>Padre Bernardo</t>
  </si>
  <si>
    <t>401,43m²</t>
  </si>
  <si>
    <t>Av. Santa Luzia, nº 772, qd. 12, lt. 19, Centro</t>
  </si>
  <si>
    <t>Paranaiguara</t>
  </si>
  <si>
    <t>336m²</t>
  </si>
  <si>
    <t>Avenida Oscar Bernardes, qd. 33, lt. 0, Centro</t>
  </si>
  <si>
    <t>Piranhas</t>
  </si>
  <si>
    <t>375m²</t>
  </si>
  <si>
    <t>Rua Previsto Moraes dos Santos, nº 662, qd. 10, lt. 4-A, Centro</t>
  </si>
  <si>
    <t>900m²</t>
  </si>
  <si>
    <t>Rua 17, nº 18, lt. 23, Vila Mércia</t>
  </si>
  <si>
    <t>Posse</t>
  </si>
  <si>
    <t>700m²</t>
  </si>
  <si>
    <t>Rua Alvorada, qd. 20, lt. 8, Augusto José Valente</t>
  </si>
  <si>
    <t>Quirinópolis</t>
  </si>
  <si>
    <t>471,60m²</t>
  </si>
  <si>
    <t>Avenida Machado de Assis, nº 72, Centro</t>
  </si>
  <si>
    <t>Rio Quente</t>
  </si>
  <si>
    <t>Rua Antônio V. de Lima, qd. 4, lt. 2, Centro</t>
  </si>
  <si>
    <t>Rio Verde</t>
  </si>
  <si>
    <t>504,44m²</t>
  </si>
  <si>
    <t>Rua do Ginásio, nº 554, Centro</t>
  </si>
  <si>
    <t>Sanclerlândia</t>
  </si>
  <si>
    <t>324m²</t>
  </si>
  <si>
    <t>Avenida Norte Sul, nº 386, qd. Única, lt. 5, Centro</t>
  </si>
  <si>
    <t>São Domingos</t>
  </si>
  <si>
    <t>567m²</t>
  </si>
  <si>
    <t>Rua das Flores com a Rua Pe Luiz, Centro</t>
  </si>
  <si>
    <t>São Luis de Montes Belos</t>
  </si>
  <si>
    <t>956,70m²</t>
  </si>
  <si>
    <t>Rua Agropecuária, qd. 1, lt. 9, Bela Vista</t>
  </si>
  <si>
    <t>Silvânia</t>
  </si>
  <si>
    <t>599,11m²</t>
  </si>
  <si>
    <t>Praça Celso Silva, nº 89, Centro</t>
  </si>
  <si>
    <t>Trindade</t>
  </si>
  <si>
    <t>Rua 1 esq. com a Rua 10, qd. 3, lt. 1, Santuário</t>
  </si>
  <si>
    <t>Uruana</t>
  </si>
  <si>
    <t>204,75m²</t>
  </si>
  <si>
    <t>Rua 14, esq. com Av. Brasil, qd. 22, lt. 01, Centro</t>
  </si>
  <si>
    <t>Uruaçu</t>
  </si>
  <si>
    <t>1000m²</t>
  </si>
  <si>
    <t>Rua 03, qd. 08, lt. 02, Copacabana</t>
  </si>
  <si>
    <t>Vianópolis</t>
  </si>
  <si>
    <t>540m²</t>
  </si>
  <si>
    <t>Rua Travessa dos Tavares, nº 130, Centro</t>
  </si>
  <si>
    <t>774,2494ha</t>
  </si>
  <si>
    <t xml:space="preserve">Estação Experimental </t>
  </si>
  <si>
    <t>Rod. GO-154, Escola Fundação Pro Cerrado, KM 14, estrada Araçu Ordália</t>
  </si>
  <si>
    <t>Rural</t>
  </si>
  <si>
    <t>FAZENDAS - USO ESPECIAL</t>
  </si>
  <si>
    <t>90.30.00ha</t>
  </si>
  <si>
    <t>Rod. BR 153, KM 12</t>
  </si>
  <si>
    <t>Acreúna</t>
  </si>
  <si>
    <t>362,05m²</t>
  </si>
  <si>
    <t>Lote</t>
  </si>
  <si>
    <t>Av. São Felipe, nº 72, qd. 7, lt. 20, Centro</t>
  </si>
  <si>
    <t>Não Edificado</t>
  </si>
  <si>
    <t>TERRENOS - USO ESPECIAL</t>
  </si>
  <si>
    <t>Iaciara</t>
  </si>
  <si>
    <t>Avenida Duque de Caxias</t>
  </si>
  <si>
    <t>Goiânia</t>
  </si>
  <si>
    <t>188527,67m²</t>
  </si>
  <si>
    <t>Complexo de Inovação Rural</t>
  </si>
  <si>
    <t>Estrada do Campus II, qd. Área, lt. AR3, Campus Samambaia</t>
  </si>
  <si>
    <t>Valor Contábil</t>
  </si>
  <si>
    <t>420m²</t>
  </si>
  <si>
    <t>Cessão de uso</t>
  </si>
  <si>
    <t>Secretaria de Estado da Retomada</t>
  </si>
  <si>
    <t>Edificação</t>
  </si>
  <si>
    <t>Rua 11, qd. 1, lt. 9, Setor Oeste</t>
  </si>
  <si>
    <t>Rua 11, qd. 1, lt. 8, Setor Oeste</t>
  </si>
  <si>
    <t>Valor Bruto Contábil 2021</t>
  </si>
  <si>
    <t>Valor Bruto Contábil 2022</t>
  </si>
  <si>
    <t>1.2.3.2.1.06.01.01.00</t>
  </si>
  <si>
    <t>OBRAS EM ANDAMENTO</t>
  </si>
  <si>
    <t>1.2.3.2.1.06.01.02.00</t>
  </si>
  <si>
    <t>ESTUDOS E PROJETOS DE EDIFICAÇÕES - SCP</t>
  </si>
  <si>
    <t>1.2.3.2.1.99.99.01.00</t>
  </si>
  <si>
    <t>OUTRAS OBRAS EM INSTALAÇÕES</t>
  </si>
  <si>
    <t>Conta Patrimonial</t>
  </si>
  <si>
    <t>Descrição da Conta</t>
  </si>
  <si>
    <t>Orgão (Código)</t>
  </si>
  <si>
    <t>Descrição do Orgão</t>
  </si>
  <si>
    <t>SALDO 2021 (Valor Bruto Contábil)</t>
  </si>
  <si>
    <t>SALDO 2022  (Valor Bruto Contábil)</t>
  </si>
  <si>
    <t>Conta de Depreciação</t>
  </si>
  <si>
    <t>Depreciação Acumulada (-)</t>
  </si>
  <si>
    <t>Valor Líquido Contábil 2022</t>
  </si>
  <si>
    <t>Valor Líquido Contábil 2023</t>
  </si>
  <si>
    <t>Data</t>
  </si>
  <si>
    <t>Código do Órgão</t>
  </si>
  <si>
    <t>Valor Inventário 2022 (TCE)</t>
  </si>
  <si>
    <t>Ano</t>
  </si>
  <si>
    <t>Mês</t>
  </si>
  <si>
    <t>https://docs.google.com/spreadsheets/d/1zwtmvbEVCGELYcqtI3O8G3JVCSb0rXTuxCizsqFeKmM/edit#gid=0</t>
  </si>
  <si>
    <t>Confimação de Propriedade</t>
  </si>
  <si>
    <t>Descrição do Código Associado (De acordo com o Plano de Contas)</t>
  </si>
  <si>
    <t>Código Associado (de acordo com o Plano de contas)</t>
  </si>
  <si>
    <t>Realizou reavaliação?</t>
  </si>
  <si>
    <t>IMÓVEIS RESIDENCIAIS - USO ESPECIAL</t>
  </si>
  <si>
    <t>1.2.3.2.1.01.01.01.00</t>
  </si>
  <si>
    <t>1.2.3.8.1.02.01.01.01</t>
  </si>
  <si>
    <t>Abadia de Goiás</t>
  </si>
  <si>
    <t>1.2.3.2.1.01.02.01.00</t>
  </si>
  <si>
    <t>1.2.3.8.1.02.01.02.01</t>
  </si>
  <si>
    <t>Abadiânia</t>
  </si>
  <si>
    <t>1ªCRI</t>
  </si>
  <si>
    <t>FORMULA CODIGO PATRIMONIO =PROCV($AC2;APOIO!$D:$E;2;FALSO)</t>
  </si>
  <si>
    <t>EDIFICIOS - USO ESPECIAL</t>
  </si>
  <si>
    <t>1.2.3.2.1.01.03.01.00</t>
  </si>
  <si>
    <t>1.2.3.8.1.02.01.03.01</t>
  </si>
  <si>
    <t>2ªCRI</t>
  </si>
  <si>
    <t>Imóvel não localizado</t>
  </si>
  <si>
    <t>1.2.3.2.1.01.04.01.00</t>
  </si>
  <si>
    <t>1.2.3.8.1.02.01.04.01</t>
  </si>
  <si>
    <t>Adelândia</t>
  </si>
  <si>
    <t>3ªCRI</t>
  </si>
  <si>
    <t>IMÓVEIS ESTADUAIS</t>
  </si>
  <si>
    <t>ARMAZÉNS - USO ESPECIAL</t>
  </si>
  <si>
    <t>1.2.3.2.1.01.05.01.00</t>
  </si>
  <si>
    <t>1.2.3.8.1.02.01.05.01</t>
  </si>
  <si>
    <t>Água Fria de Goiás</t>
  </si>
  <si>
    <t>4ªCRI</t>
  </si>
  <si>
    <t xml:space="preserve"> Ocupação Desordenada</t>
  </si>
  <si>
    <t>IMÓVEIS RECEBIDOS EM CESSÃO</t>
  </si>
  <si>
    <t>GALPÕES - USO ESPECIAL</t>
  </si>
  <si>
    <t>1.2.3.2.1.01.05.02.00</t>
  </si>
  <si>
    <t>1.2.3.8.1.02.01.05.02</t>
  </si>
  <si>
    <t>Água Limpa</t>
  </si>
  <si>
    <t>Edificação em ruína</t>
  </si>
  <si>
    <t>IMÓVEIS PRÓPRIOS</t>
  </si>
  <si>
    <t>QUARTÉIS - USO ESPECIAL</t>
  </si>
  <si>
    <t>1.2.3.2.1.01.06.01.00</t>
  </si>
  <si>
    <t>1.2.3.8.1.02.01.00.01</t>
  </si>
  <si>
    <t>Águas Lindas de Goiás</t>
  </si>
  <si>
    <t>IMÓVEIS PRÓPRIOS CEDIDOS</t>
  </si>
  <si>
    <t>AEROPORTOS - USO ESPECIAL</t>
  </si>
  <si>
    <t>1.2.3.2.1.01.07.01.00</t>
  </si>
  <si>
    <t>1.2.3.8.1.02.01.07.01</t>
  </si>
  <si>
    <t>ESTAÇÕES - USO ESPECIAL</t>
  </si>
  <si>
    <t>1.2.3.2.1.01.07.02.00</t>
  </si>
  <si>
    <t>1.2.3.8.1.02.01.07.02</t>
  </si>
  <si>
    <t>Aloândia</t>
  </si>
  <si>
    <t>AERÓDROMOS - USO ESPECIAL</t>
  </si>
  <si>
    <t>1.2.3.2.1.01.07.03.00</t>
  </si>
  <si>
    <t>1.2.3.8.1.02.01.07.03</t>
  </si>
  <si>
    <t>Alto Horizonte</t>
  </si>
  <si>
    <t>ESCOLAS - USO ESPECIAL</t>
  </si>
  <si>
    <t>1.2.3.2.1.01.08.01.00</t>
  </si>
  <si>
    <t>1.2.3.8.1.02.01.08.01</t>
  </si>
  <si>
    <t>REPRESAS - USO ESPECIAL</t>
  </si>
  <si>
    <t>1.2.3.2.1.01.09.01.00</t>
  </si>
  <si>
    <t>1.2.3.8.1.02.01.09.01</t>
  </si>
  <si>
    <t>AÇUDES - USO ESPECIAL</t>
  </si>
  <si>
    <t>1.2.3.2.1.01.09.02.00</t>
  </si>
  <si>
    <t>1.2.3.8.1.02.01.09.02</t>
  </si>
  <si>
    <t>Amaralina</t>
  </si>
  <si>
    <t>1.2.3.2.1.01.10.01.00</t>
  </si>
  <si>
    <t>1.2.3.8.1.02.01.10.01</t>
  </si>
  <si>
    <t>Americano do Brasil</t>
  </si>
  <si>
    <t>PARQUES - USO ESPECIAL</t>
  </si>
  <si>
    <t>1.2.3.2.1.01.10.02.00</t>
  </si>
  <si>
    <t>1.2.3.8.1.02.01.10.02</t>
  </si>
  <si>
    <t>Amorinópolis</t>
  </si>
  <si>
    <t>RESERVAS - USO ESPECIAL</t>
  </si>
  <si>
    <t>1.2.3.2.1.01.10.03.00</t>
  </si>
  <si>
    <t>1.2.3.8.1.02.01.10.03</t>
  </si>
  <si>
    <t>Anápolis</t>
  </si>
  <si>
    <t>CLUBES - USO ESPECIAL</t>
  </si>
  <si>
    <t>1.2.3.2.1.01.11.01.00</t>
  </si>
  <si>
    <t>1.2.3.8.1.02.01.11.01</t>
  </si>
  <si>
    <t>Anhanguera</t>
  </si>
  <si>
    <t>ESTÁDIOS - USO ESPECIAL</t>
  </si>
  <si>
    <t>1.2.3.2.1.01.11.02.00</t>
  </si>
  <si>
    <t>1.2.3.8.1.02.01.11.02</t>
  </si>
  <si>
    <t>TEATROS - USO ESPECIAL</t>
  </si>
  <si>
    <t>1.2.3.2.1.01.11.03.00</t>
  </si>
  <si>
    <t>1.2.3.8.1.02.01.11.03</t>
  </si>
  <si>
    <t>Aparecida de Goiânia</t>
  </si>
  <si>
    <t>CENTRO DE EVENTOS - USO ESPECIAL</t>
  </si>
  <si>
    <t>1.2.3.2.1.01.11.04.00</t>
  </si>
  <si>
    <t>1.2.3.8.1.02.01.11.04</t>
  </si>
  <si>
    <t>Aparecida do Rio Doce</t>
  </si>
  <si>
    <t>GINÁSIOS - USO ESPECIAL</t>
  </si>
  <si>
    <t>1.2.3.2.1.01.11.05.00</t>
  </si>
  <si>
    <t>1.2.3.8.1.02.01.11.05</t>
  </si>
  <si>
    <t>Aporé</t>
  </si>
  <si>
    <t>CENTRO ESPORTIVO / CAMPO DE FUTEBOL - USO ESPECIAL</t>
  </si>
  <si>
    <t>1.2.3.2.1.01.11.06.00</t>
  </si>
  <si>
    <t>1.2.3.8.1.02.01.11.06</t>
  </si>
  <si>
    <t>MUSEUS - USO ESPECIAL</t>
  </si>
  <si>
    <t>1.2.3.2.1.01.13.01.00</t>
  </si>
  <si>
    <t>1.2.3.8.1.02.01.13.01</t>
  </si>
  <si>
    <t>Aragarças</t>
  </si>
  <si>
    <t>PALÁCIOS - USO ESPECIAL</t>
  </si>
  <si>
    <t>1.2.3.2.1.01.13.02.00</t>
  </si>
  <si>
    <t>1.2.3.8.1.02.01.13.02</t>
  </si>
  <si>
    <t>Aragoiânia</t>
  </si>
  <si>
    <t>LABORATÓRIOS - USO ESPECIAL</t>
  </si>
  <si>
    <t>1.2.3.2.1.01.14.01.00</t>
  </si>
  <si>
    <t>1.2.3.8.1.02.01.14.01</t>
  </si>
  <si>
    <t>Araguapaz</t>
  </si>
  <si>
    <t>OBSERVATÓRIOS - USO ESPECIAL</t>
  </si>
  <si>
    <t>1.2.3.2.1.01.14.02.00</t>
  </si>
  <si>
    <t>1.2.3.8.1.02.01.14.02</t>
  </si>
  <si>
    <t>Arenópolis</t>
  </si>
  <si>
    <t>HOSPITAIS - USO ESPECIAL</t>
  </si>
  <si>
    <t>1.2.3.2.1.01.15.01.00</t>
  </si>
  <si>
    <t>1.2.3.8.1.02.01.15.01</t>
  </si>
  <si>
    <t>Aruanã</t>
  </si>
  <si>
    <t>UNIDADES DE SAÚDE - USO ESPECIAL</t>
  </si>
  <si>
    <t>1.2.3.2.1.01.15.02.00</t>
  </si>
  <si>
    <t>1.2.3.8.1.02.01.15.02</t>
  </si>
  <si>
    <t>Aurilândia</t>
  </si>
  <si>
    <t>HOTÉIS - USO ESPECIAL</t>
  </si>
  <si>
    <t>1.2.3.2.1.01.16.01.00</t>
  </si>
  <si>
    <t>1.2.3.8.1.02.01.16.01</t>
  </si>
  <si>
    <t>Avelinópolis</t>
  </si>
  <si>
    <t>PRESÍDIOS - USO ESPECIAL</t>
  </si>
  <si>
    <t>1.2.3.2.1.01.17.01.00</t>
  </si>
  <si>
    <t>1.2.3.8.1.02.01.17.01</t>
  </si>
  <si>
    <t>Baliza</t>
  </si>
  <si>
    <t>DELEGACIAS - USO ESPECIAL</t>
  </si>
  <si>
    <t>1.2.3.2.1.01.17.02.00</t>
  </si>
  <si>
    <t>1.2.3.8.1.02.01.17.02</t>
  </si>
  <si>
    <t>COMPLEXOS/FÁBRICAS/USINAS - USO ESPECIAL</t>
  </si>
  <si>
    <t>1.2.3.2.1.01.19.01.00</t>
  </si>
  <si>
    <t>1.2.3.8.1.02.01.19.01</t>
  </si>
  <si>
    <t>OUTROS IMÓVEIS PARA FINS INDUSTRIAIS - SCP - USO ESPECIAL</t>
  </si>
  <si>
    <t>1.2.3.2.1.01.19.90.00</t>
  </si>
  <si>
    <t>1.2.3.8.1.02.01.19.90</t>
  </si>
  <si>
    <t>Belém - PA</t>
  </si>
  <si>
    <t>ESTACIONAMENTOS E GARAGENS - USO ESPECIAL</t>
  </si>
  <si>
    <t>1.2.3.2.1.01.21.01.00</t>
  </si>
  <si>
    <t>1.2.3.8.1.02.01.21.01</t>
  </si>
  <si>
    <t>POSTOS DE FISCALIZAÇÃO - USO ESPECIAL</t>
  </si>
  <si>
    <t>1.2.3.2.1.01.22.01.00</t>
  </si>
  <si>
    <t>1.2.3.8.1.02.01.22.01</t>
  </si>
  <si>
    <t>DELEGACIA FISCAL - USO ESPECIAL</t>
  </si>
  <si>
    <t>1.2.3.2.1.01.22.02.00</t>
  </si>
  <si>
    <t>1.2.3.8.1.02.01.22.02</t>
  </si>
  <si>
    <t>Bonfinópolis</t>
  </si>
  <si>
    <t>OUTROS BENS IMÓVEIS DE USO ESPECIAL - USO ESPECIAL</t>
  </si>
  <si>
    <t>1.2.3.2.1.01.98.00.00</t>
  </si>
  <si>
    <t>1.2.3.8.1.02.01.98.00</t>
  </si>
  <si>
    <t>Bonópolis</t>
  </si>
  <si>
    <t>DESAPROPRIAÇÃO DE IMÓVEIS PARA FINS DE INTERESSE PÚBLICO - USO ESPECIAL</t>
  </si>
  <si>
    <t>1.2.3.2.1.01.98.01.00</t>
  </si>
  <si>
    <t>1.2.3.8.1.02.01.98.01</t>
  </si>
  <si>
    <t>Brasília</t>
  </si>
  <si>
    <t>OBRAS E INSTALAÇÕES - USO ESPECIAL</t>
  </si>
  <si>
    <t>1.2.3.2.1.01.98.02.00</t>
  </si>
  <si>
    <t>1.2.3.8.1.02.01.98.02</t>
  </si>
  <si>
    <t>Brazabrantes</t>
  </si>
  <si>
    <t>TERMINAIS RODOVIÁRIOS E HIDROVIÁRIOS - SCP - USO ESPECIAL</t>
  </si>
  <si>
    <t>1.2.3.2.1.01.98.03.00</t>
  </si>
  <si>
    <t>1.2.3.8.1.02.01.98.03</t>
  </si>
  <si>
    <t>Britânia</t>
  </si>
  <si>
    <t>OUTRAS EDIFICAÇÕES - USO ESPECIAL</t>
  </si>
  <si>
    <t>1.2.3.2.1.01.98.09.00</t>
  </si>
  <si>
    <t>1.2.3.8.1.02.01.98.09</t>
  </si>
  <si>
    <t>Buriti Alegre</t>
  </si>
  <si>
    <t>1.2.3.2.1.01.98.10.00</t>
  </si>
  <si>
    <t>1.2.3.8.1.02.01.98.10</t>
  </si>
  <si>
    <t>Buriti de Goiás</t>
  </si>
  <si>
    <t>EDIFICIOS - DOMINICAIS</t>
  </si>
  <si>
    <t>1.2.3.2.1.04.01.01.00</t>
  </si>
  <si>
    <t>1.2.3.8.1.02.04.01.01</t>
  </si>
  <si>
    <t>Buritinópolis</t>
  </si>
  <si>
    <t>APARTAMENTOS - DOMINICAIS</t>
  </si>
  <si>
    <t>1.2.3.2.1.04.02.01.00</t>
  </si>
  <si>
    <t>1.2.3.8.1.02.04.02.01</t>
  </si>
  <si>
    <t>Cabeceiras</t>
  </si>
  <si>
    <t>CASAS - DOMINICAIS</t>
  </si>
  <si>
    <t>1.2.3.2.1.04.04.01.00</t>
  </si>
  <si>
    <t>1.2.3.8.1.02.04.04.01</t>
  </si>
  <si>
    <t>GARAGENS E ESTACIONAMENTOS - DOMINICAIS</t>
  </si>
  <si>
    <t>1.2.3.2.1.04.07.01.00</t>
  </si>
  <si>
    <t>1.2.3.8.1.02.04.07.01</t>
  </si>
  <si>
    <t>Cachoeira de Goiás</t>
  </si>
  <si>
    <t>FAZENDAS - DOMINICAIS</t>
  </si>
  <si>
    <t>1.2.3.2.1.04.08.01.00</t>
  </si>
  <si>
    <t>1.2.3.8.1.02.04.08.01</t>
  </si>
  <si>
    <t>Cachoeira Dourada</t>
  </si>
  <si>
    <t>GALPÕES - DOMINICAIS</t>
  </si>
  <si>
    <t>1.2.3.2.1.04.09.01.00</t>
  </si>
  <si>
    <t>1.2.3.8.1.02.04.09.01</t>
  </si>
  <si>
    <t>SALAS - DOMINICAIS</t>
  </si>
  <si>
    <t>1.2.3.2.1.04.12.01.00</t>
  </si>
  <si>
    <t>1.2.3.8.1.02.04.12.01</t>
  </si>
  <si>
    <t>Caiapônia</t>
  </si>
  <si>
    <t>TERRENOS - DOMINICAIS</t>
  </si>
  <si>
    <t>1.2.3.2.1.04.13.01.00</t>
  </si>
  <si>
    <t>1.2.3.8.1.02.04.13.01</t>
  </si>
  <si>
    <t>Caldas Novas</t>
  </si>
  <si>
    <t>LOTES - DOMINICAIS</t>
  </si>
  <si>
    <t>1.2.3.2.1.04.14.01.00</t>
  </si>
  <si>
    <t>1.2.3.8.1.02.04.14.01</t>
  </si>
  <si>
    <t>Caldazinha</t>
  </si>
  <si>
    <t>GLEBAS URBANAS - DOMINICAIS</t>
  </si>
  <si>
    <t>1.2.3.2.1.04.16.01.00</t>
  </si>
  <si>
    <t>1.2.3.8.1.02.04.16.01</t>
  </si>
  <si>
    <t>Campestre de Goiás</t>
  </si>
  <si>
    <t>GLEBAS RURAIS - DOMINICAIS</t>
  </si>
  <si>
    <t>1.2.3.2.1.04.18.01.00</t>
  </si>
  <si>
    <t>1.2.3.8.1.02.04.18.01</t>
  </si>
  <si>
    <t>Campinaçu</t>
  </si>
  <si>
    <t>RUAS - USO COMUM DO POVO</t>
  </si>
  <si>
    <t>1.2.3.2.1.05.01.01.00</t>
  </si>
  <si>
    <t>1.2.3.8.1.02.05.03.01</t>
  </si>
  <si>
    <t>Campinorte</t>
  </si>
  <si>
    <t>PRAÇAS - USO COMUM DO POVO</t>
  </si>
  <si>
    <t>1.2.3.2.1.05.02.01.00</t>
  </si>
  <si>
    <t>1.2.3.8.1.02.05.04.01</t>
  </si>
  <si>
    <t>Campo Alegre de Goiás</t>
  </si>
  <si>
    <t>ESTRADAS - USO COMUM DO POVO</t>
  </si>
  <si>
    <t>1.2.3.2.1.05.03.01.00</t>
  </si>
  <si>
    <t>Campo Limpo de Goiás</t>
  </si>
  <si>
    <t>PONTES - USO COMUM DO POVO</t>
  </si>
  <si>
    <t>1.2.3.2.1.05.04.01.00</t>
  </si>
  <si>
    <t>VIADUTOS - USO COMUM DO POVO</t>
  </si>
  <si>
    <t>1.2.3.2.1.05.05.01.00</t>
  </si>
  <si>
    <t>1.2.3.8.1.02.05.05.01</t>
  </si>
  <si>
    <t>Campos Verdes</t>
  </si>
  <si>
    <t>SISTEMAS DE ESGOTO E/OU DE ABASTECIMENTO DE ÁGUA - USO COMUM DO POVO</t>
  </si>
  <si>
    <t>1.2.3.2.1.05.06.01.00</t>
  </si>
  <si>
    <t>SISTEMAS DE ABASTECIMETNO DE ENERGIA - USO COUMUM DO POVO</t>
  </si>
  <si>
    <t>1.2.3.2.1.05.07.01.00</t>
  </si>
  <si>
    <t>Castelândia</t>
  </si>
  <si>
    <t>REDES DE TELECOMUNICAÇÕES - USO COMUM DO POVO</t>
  </si>
  <si>
    <t>1.2.3.2.1.05.08.01.00</t>
  </si>
  <si>
    <t>Catalão</t>
  </si>
  <si>
    <t>MONUMENTOS  E PRÉDIOS HISTÓRICOS - USO COMUM DO POVO</t>
  </si>
  <si>
    <t>1.2.3.2.1.05.09.01.00</t>
  </si>
  <si>
    <t>1.2.3.8.1.02.05.09.01</t>
  </si>
  <si>
    <t>Caturaí</t>
  </si>
  <si>
    <t>OUTROS BENS DE USO COMUM DO POVO</t>
  </si>
  <si>
    <t>1.2.3.2.1.05.99.00.00</t>
  </si>
  <si>
    <t>Cavalcante</t>
  </si>
  <si>
    <t xml:space="preserve">BENS IMÓVEIS NÃO LOCALIZADOS </t>
  </si>
  <si>
    <t>1.2.3.2.1.99.05.01.00</t>
  </si>
  <si>
    <t xml:space="preserve">BENS IMÓVEIS PARA ALIENAÇÃO </t>
  </si>
  <si>
    <t>1.2.3.2.1.99.06.01.00</t>
  </si>
  <si>
    <t>Cezarina</t>
  </si>
  <si>
    <t xml:space="preserve">BENS IMÓVEIS COM OCUPAÇÃO IRREGULAR </t>
  </si>
  <si>
    <t>1.2.3.2.1.99.99.03.00</t>
  </si>
  <si>
    <t>Chapadão do Céu</t>
  </si>
  <si>
    <t>BENS IMÓVEIS PARA DOAÇÃO</t>
  </si>
  <si>
    <t>1.2.3.2.1.99.99.04.00</t>
  </si>
  <si>
    <t>1.2.3.8.1.02.06.01.01</t>
  </si>
  <si>
    <t>Cidade Ocidental</t>
  </si>
  <si>
    <t>1.2.3.8.1.02.06.01.02</t>
  </si>
  <si>
    <t>Cocalzinho de Goiás</t>
  </si>
  <si>
    <t>Córrego do Ouro</t>
  </si>
  <si>
    <t>Corumbá de Goiás</t>
  </si>
  <si>
    <t>Corumbaíba</t>
  </si>
  <si>
    <t>Cristalina</t>
  </si>
  <si>
    <t>Cristianópolis</t>
  </si>
  <si>
    <t>Cromínia</t>
  </si>
  <si>
    <t>Cumari</t>
  </si>
  <si>
    <t>Damianópolis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</si>
  <si>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</si>
  <si>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</si>
  <si>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</si>
  <si>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</si>
  <si>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</si>
  <si>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</si>
  <si>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</si>
  <si>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</si>
  <si>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Firminópolis</t>
  </si>
  <si>
    <t>Flores de Goiás</t>
  </si>
  <si>
    <t>Formosa</t>
  </si>
  <si>
    <t>Gameleira de Goiás</t>
  </si>
  <si>
    <t>Goianápolis</t>
  </si>
  <si>
    <t>Goiandira</t>
  </si>
  <si>
    <t>Goianira</t>
  </si>
  <si>
    <t>Goiatuba</t>
  </si>
  <si>
    <t>Gouvelândia</t>
  </si>
  <si>
    <t>Guaraíta</t>
  </si>
  <si>
    <t>Guarani de Goiás</t>
  </si>
  <si>
    <t>Guarinos</t>
  </si>
  <si>
    <t>Heitoraí</t>
  </si>
  <si>
    <t>Hidrolândia</t>
  </si>
  <si>
    <t>Hidrolina</t>
  </si>
  <si>
    <t>Inaciolândia</t>
  </si>
  <si>
    <t>Indiara</t>
  </si>
  <si>
    <t>Inhumas</t>
  </si>
  <si>
    <t>Ipiranga de Goiás</t>
  </si>
  <si>
    <t>Iporá</t>
  </si>
  <si>
    <t>Israelândia</t>
  </si>
  <si>
    <t>Itaguari</t>
  </si>
  <si>
    <t>Itaguaru</t>
  </si>
  <si>
    <t>Itajá</t>
  </si>
  <si>
    <t>Itarumã</t>
  </si>
  <si>
    <t>Itauçu</t>
  </si>
  <si>
    <t>Ivolândia</t>
  </si>
  <si>
    <t>Jaraguá</t>
  </si>
  <si>
    <t>Jaupaci</t>
  </si>
  <si>
    <t>Jesúpolis</t>
  </si>
  <si>
    <t>Joviânia</t>
  </si>
  <si>
    <t>Lagoa Santa</t>
  </si>
  <si>
    <t>Luziânia</t>
  </si>
  <si>
    <t>Mairipotaba</t>
  </si>
  <si>
    <t>Mambaí</t>
  </si>
  <si>
    <t>Marzagão</t>
  </si>
  <si>
    <t>Matrinchã</t>
  </si>
  <si>
    <t>Maurilândia</t>
  </si>
  <si>
    <t>Mimoso de Goiás</t>
  </si>
  <si>
    <t>Minaçu</t>
  </si>
  <si>
    <t>Moiporá</t>
  </si>
  <si>
    <t>Monte Alegre de Goiás</t>
  </si>
  <si>
    <t>Montividiu</t>
  </si>
  <si>
    <t>Montividiu do Norte</t>
  </si>
  <si>
    <t>Mossâmedes</t>
  </si>
  <si>
    <t>Mundo Novo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</si>
  <si>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</si>
  <si>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</si>
  <si>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</si>
  <si>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</si>
  <si>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</si>
  <si>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</si>
  <si>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</si>
  <si>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</si>
  <si>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</si>
  <si>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</si>
  <si>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</si>
  <si>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</si>
  <si>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</si>
  <si>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Ouro Verde de Goiás</t>
  </si>
  <si>
    <t>Ouvidor</t>
  </si>
  <si>
    <t>Palestina de Goiás</t>
  </si>
  <si>
    <t>Palmelo</t>
  </si>
  <si>
    <t>Palminópolis</t>
  </si>
  <si>
    <t>Panamá</t>
  </si>
  <si>
    <t>Paraúna</t>
  </si>
  <si>
    <t>Perolândia</t>
  </si>
  <si>
    <t>Petrolina de Goiás</t>
  </si>
  <si>
    <t>Pilar de Goiás</t>
  </si>
  <si>
    <t>Pirenópolis</t>
  </si>
  <si>
    <t>Pires do Rio</t>
  </si>
  <si>
    <t>Planaltina</t>
  </si>
  <si>
    <t>Pontalina</t>
  </si>
  <si>
    <t>Porteirão</t>
  </si>
  <si>
    <t>Portelândia</t>
  </si>
  <si>
    <t>Professor Jamil</t>
  </si>
  <si>
    <t>Rialma</t>
  </si>
  <si>
    <t>Rianápolis</t>
  </si>
  <si>
    <t>Rio de Janeiro</t>
  </si>
  <si>
    <t>Rubiataba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</si>
  <si>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</si>
  <si>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</si>
  <si>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</si>
  <si>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</si>
  <si>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</si>
  <si>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</si>
  <si>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</si>
  <si>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</si>
  <si>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</si>
  <si>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</si>
  <si>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</si>
  <si>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</si>
  <si>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</si>
  <si>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</si>
  <si>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</si>
  <si>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</si>
  <si>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Luiz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</si>
  <si>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</si>
  <si>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</si>
  <si>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</si>
  <si>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</si>
  <si>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</si>
  <si>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</si>
  <si>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Simolândia</t>
  </si>
  <si>
    <t>Sitio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</si>
  <si>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</si>
  <si>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</si>
  <si>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</si>
  <si>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</si>
  <si>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</si>
  <si>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</si>
  <si>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</si>
  <si>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</si>
  <si>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Urutaí</t>
  </si>
  <si>
    <t>Valparaíso de Goiás</t>
  </si>
  <si>
    <t>Varjão</t>
  </si>
  <si>
    <t>Vicentinópolis</t>
  </si>
  <si>
    <t>Vila Boa</t>
  </si>
  <si>
    <t>Vila Propício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</si>
</sst>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 -416]#,##0.00"/>
    <numFmt numFmtId="165" formatCode="[$R$-416]\ #,##0.00;[Red]\-[$R$-416]\ #,##0.00"/>
    <numFmt numFmtId="166" formatCode="m/yyyy"/>
    <numFmt numFmtId="167" formatCode="d/m/yyyy"/>
  </numFmts>
  <fonts count="10" x14ac:knownFonts="1">
    <font>
      <sz val="10"/>
      <color rgb="FF000000"/>
      <name val="Arial"/>
      <charset val="1"/>
    </font>
    <font>
      <b/>
      <sz val="11"/>
      <color rgb="FFFFFFFF"/>
      <name val="Calibri"/>
      <charset val="1"/>
    </font>
    <font>
      <sz val="11"/>
      <color rgb="FF000000"/>
      <name val="Arial"/>
      <charset val="1"/>
    </font>
    <font>
      <u/>
      <sz val="11"/>
      <color rgb="FF0000FF"/>
      <name val="Cambria"/>
      <charset val="1"/>
    </font>
    <font>
      <u/>
      <sz val="11"/>
      <color rgb="FF1155CC"/>
      <name val="Arial"/>
      <charset val="1"/>
    </font>
    <font>
      <sz val="12"/>
      <color rgb="FF000000"/>
      <name val="Arial"/>
      <charset val="1"/>
    </font>
    <font>
      <u/>
      <sz val="11"/>
      <color rgb="FF008000"/>
      <name val="Inconsolata"/>
      <charset val="1"/>
    </font>
    <font>
      <b/>
      <sz val="11"/>
      <color rgb="FF000000"/>
      <name val="Calibri"/>
      <charset val="1"/>
    </font>
    <font>
      <sz val="11"/>
      <color rgb="FF000000"/>
      <name val="Inconsolata"/>
      <charset val="1"/>
    </font>
    <font>
      <sz val="11"/>
      <color rgb="FF000000"/>
      <name val="Calibri"/>
      <charset val="1"/>
    </font>
  </fonts>
  <fills count="15">
    <fill>
      <patternFill patternType="none"/>
    </fill>
    <fill>
      <patternFill patternType="gray125"/>
    </fill>
    <fill>
      <patternFill patternType="solid">
        <fgColor rgb="FF666666"/>
        <bgColor rgb="FF808080"/>
      </patternFill>
    </fill>
    <fill>
      <patternFill patternType="solid">
        <fgColor rgb="FFE69138"/>
        <bgColor rgb="FFFF9900"/>
      </patternFill>
    </fill>
    <fill>
      <patternFill patternType="solid">
        <fgColor rgb="FFEA9999"/>
        <bgColor rgb="FFE69138"/>
      </patternFill>
    </fill>
    <fill>
      <patternFill patternType="solid">
        <fgColor rgb="FF0563C1"/>
        <bgColor rgb="FF1155CC"/>
      </patternFill>
    </fill>
    <fill>
      <patternFill patternType="solid">
        <fgColor rgb="FFFFFFFF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DEE7E5"/>
        <bgColor rgb="FFDEE6EF"/>
      </patternFill>
    </fill>
    <fill>
      <patternFill patternType="solid">
        <fgColor rgb="FFDEE6EF"/>
        <bgColor rgb="FFDEE7E5"/>
      </patternFill>
    </fill>
    <fill>
      <patternFill patternType="solid">
        <fgColor rgb="FFE2EFD9"/>
        <bgColor rgb="FFDEE7E5"/>
      </patternFill>
    </fill>
    <fill>
      <patternFill patternType="solid">
        <fgColor rgb="FFEAD1DC"/>
        <bgColor rgb="FFDEE7E5"/>
      </patternFill>
    </fill>
    <fill>
      <patternFill patternType="solid">
        <fgColor rgb="FFCFE2F3"/>
        <bgColor rgb="FFDEE6EF"/>
      </patternFill>
    </fill>
    <fill>
      <patternFill patternType="solid">
        <fgColor rgb="FFFCE5CD"/>
        <bgColor rgb="FFFFF2CC"/>
      </patternFill>
    </fill>
    <fill>
      <patternFill patternType="solid">
        <fgColor rgb="FFFFF2CC"/>
        <bgColor rgb="FFFCE5CD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5" fontId="0" fillId="0" borderId="0" xfId="0" applyNumberFormat="1"/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" fontId="5" fillId="6" borderId="0" xfId="0" applyNumberFormat="1" applyFont="1" applyFill="1" applyAlignment="1">
      <alignment horizontal="center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164" fontId="2" fillId="0" borderId="1" xfId="0" applyNumberFormat="1" applyFont="1" applyBorder="1"/>
    <xf numFmtId="4" fontId="0" fillId="6" borderId="0" xfId="0" applyNumberFormat="1" applyFill="1" applyAlignment="1">
      <alignment horizontal="center"/>
    </xf>
    <xf numFmtId="4" fontId="5" fillId="0" borderId="0" xfId="0" applyNumberFormat="1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4" fontId="0" fillId="7" borderId="0" xfId="0" applyNumberFormat="1" applyFill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64" fontId="2" fillId="0" borderId="3" xfId="0" applyNumberFormat="1" applyFont="1" applyBorder="1"/>
    <xf numFmtId="164" fontId="2" fillId="7" borderId="3" xfId="0" applyNumberFormat="1" applyFont="1" applyFill="1" applyBorder="1"/>
    <xf numFmtId="164" fontId="1" fillId="2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2" fillId="8" borderId="1" xfId="0" applyNumberFormat="1" applyFont="1" applyFill="1" applyBorder="1" applyAlignment="1">
      <alignment horizontal="right" vertical="center"/>
    </xf>
    <xf numFmtId="164" fontId="2" fillId="8" borderId="1" xfId="0" applyNumberFormat="1" applyFont="1" applyFill="1" applyBorder="1"/>
    <xf numFmtId="164" fontId="2" fillId="8" borderId="1" xfId="0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1" fillId="5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0" fontId="8" fillId="6" borderId="1" xfId="0" applyFont="1" applyFill="1" applyBorder="1"/>
    <xf numFmtId="0" fontId="2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/>
    <xf numFmtId="0" fontId="2" fillId="10" borderId="1" xfId="0" applyFont="1" applyFill="1" applyBorder="1" applyAlignment="1">
      <alignment horizontal="left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wrapText="1"/>
    </xf>
    <xf numFmtId="0" fontId="2" fillId="11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/>
    <xf numFmtId="0" fontId="2" fillId="13" borderId="1" xfId="0" applyFont="1" applyFill="1" applyBorder="1" applyAlignment="1">
      <alignment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4" borderId="1" xfId="0" applyFont="1" applyFill="1" applyBorder="1" applyAlignment="1">
      <alignment wrapText="1"/>
    </xf>
    <xf numFmtId="0" fontId="2" fillId="14" borderId="1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4">
    <dxf>
      <font>
        <color rgb="FF000000"/>
        <name val="Arial"/>
        <charset val="1"/>
      </font>
      <fill>
        <patternFill>
          <bgColor rgb="FFB7E1CD"/>
        </patternFill>
      </fill>
    </dxf>
    <dxf>
      <font>
        <color rgb="FF000000"/>
        <name val="Arial"/>
        <charset val="1"/>
      </font>
      <fill>
        <patternFill>
          <bgColor rgb="FFB6D7A8"/>
        </patternFill>
      </fill>
    </dxf>
    <dxf>
      <font>
        <color rgb="FF000000"/>
        <name val="Arial"/>
        <charset val="1"/>
      </font>
      <fill>
        <patternFill>
          <bgColor rgb="FFB6D7A8"/>
        </patternFill>
      </fill>
    </dxf>
    <dxf>
      <font>
        <color rgb="FF000000"/>
        <name val="Arial"/>
        <charset val="1"/>
      </font>
      <fill>
        <patternFill>
          <bgColor rgb="FFB6D7A8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2CC"/>
      <rgbColor rgb="FFDEE6EF"/>
      <rgbColor rgb="FF660066"/>
      <rgbColor rgb="FFE69138"/>
      <rgbColor rgb="FF0563C1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7E5"/>
      <rgbColor rgb="FFE2EFD9"/>
      <rgbColor rgb="FFFCE5CD"/>
      <rgbColor rgb="FFB7E1CD"/>
      <rgbColor rgb="FFEA9999"/>
      <rgbColor rgb="FFCC99FF"/>
      <rgbColor rgb="FFEAD1DC"/>
      <rgbColor rgb="FF1155CC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48576"/>
  <sheetViews>
    <sheetView topLeftCell="AC1" zoomScale="140" zoomScaleNormal="140" workbookViewId="0">
      <pane ySplit="1" topLeftCell="A2" activePane="bottomLeft" state="frozen"/>
      <selection activeCell="AC1" sqref="AC1"/>
      <selection pane="bottomLeft" activeCell="AK11" sqref="AK11"/>
    </sheetView>
  </sheetViews>
  <sheetFormatPr defaultColWidth="15.5703125" defaultRowHeight="12.75" x14ac:dyDescent="0.2"/>
  <sheetData>
    <row r="1" spans="1:41" ht="44.8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3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6" t="s">
        <v>19</v>
      </c>
      <c r="U1" s="6" t="s">
        <v>20</v>
      </c>
      <c r="V1" s="2" t="s">
        <v>21</v>
      </c>
      <c r="W1" s="2" t="s">
        <v>22</v>
      </c>
      <c r="X1" s="3" t="s">
        <v>23</v>
      </c>
      <c r="Y1" s="7" t="s">
        <v>24</v>
      </c>
      <c r="Z1" s="8" t="s">
        <v>25</v>
      </c>
      <c r="AA1" s="7" t="s">
        <v>26</v>
      </c>
      <c r="AB1" s="8" t="s">
        <v>27</v>
      </c>
      <c r="AC1" s="9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</row>
    <row r="2" spans="1:41" ht="44.85" customHeight="1" x14ac:dyDescent="0.2">
      <c r="A2" s="11" t="s">
        <v>41</v>
      </c>
      <c r="B2" s="12" t="s">
        <v>42</v>
      </c>
      <c r="C2" s="11">
        <v>497</v>
      </c>
      <c r="D2" s="11" t="s">
        <v>43</v>
      </c>
      <c r="E2" s="11" t="s">
        <v>44</v>
      </c>
      <c r="F2" s="12" t="s">
        <v>45</v>
      </c>
      <c r="G2" s="13" t="s">
        <v>46</v>
      </c>
      <c r="H2" s="11"/>
      <c r="I2" s="13"/>
      <c r="J2" s="11"/>
      <c r="K2" s="12"/>
      <c r="L2" s="11"/>
      <c r="M2" s="12"/>
      <c r="N2" s="12"/>
      <c r="O2" s="11" t="s">
        <v>47</v>
      </c>
      <c r="P2" s="12" t="s">
        <v>48</v>
      </c>
      <c r="Q2" s="14" t="s">
        <v>49</v>
      </c>
      <c r="R2" s="11" t="s">
        <v>50</v>
      </c>
      <c r="S2" s="11" t="s">
        <v>51</v>
      </c>
      <c r="T2" s="11" t="s">
        <v>52</v>
      </c>
      <c r="U2" s="11" t="s">
        <v>52</v>
      </c>
      <c r="V2" s="12" t="s">
        <v>53</v>
      </c>
      <c r="W2" s="12">
        <v>408</v>
      </c>
      <c r="X2" s="15" t="s">
        <v>54</v>
      </c>
      <c r="Y2" s="16" t="s">
        <v>48</v>
      </c>
      <c r="Z2" s="17">
        <v>3262</v>
      </c>
      <c r="AA2" s="16">
        <v>104065</v>
      </c>
      <c r="AB2" s="12" t="str">
        <f>VLOOKUP($AC2,APOIO!$D:$E,2,FALSE())</f>
        <v>1.2.3.2.1.01.98.10.00</v>
      </c>
      <c r="AC2" s="12" t="s">
        <v>55</v>
      </c>
      <c r="AD2" s="11" t="s">
        <v>56</v>
      </c>
      <c r="AE2" s="11" t="s">
        <v>53</v>
      </c>
      <c r="AF2" s="18"/>
      <c r="AG2" s="18"/>
      <c r="AH2" s="18"/>
      <c r="AI2" s="18">
        <f>IF(AND($AE2 = "NÃO", OR($AA2=0, ISBLANK($AA2))),
      $AF2+$AG2+$AH2,
      IF(AND($AE2 = "NÃO", OR($AA2 &gt;0, NOT(ISBLANK($AA2)))),
           $AA2+$AH2,
           IF($AE2 = "SIM",
                $AF2+$AG2
           )
      )
)</f>
        <v>104065</v>
      </c>
      <c r="AJ2" s="18">
        <f>IF(OR($AB2 = "1.2.3.2.1.99.05.01.00", $AB2 = "1.2.3.2.1.99.99.03.00"),
      0,
      IF(AND($AE2 = "NÃO", OR($AA2=0, ISBLANK($AA2))),
           ($AG2+$AH2)*20/100,
           IF(AND($AE2 = "NÃO", OR($AA2 &gt;0, NOT(ISBLANK($AA2)))),
                ($AA2+$AH2)*20/100,
                IF($AE2="SIM",
                     $AG2*20/100
                )
           )
      )
)</f>
        <v>20813</v>
      </c>
      <c r="AK2" s="19">
        <f>IF(OR($AB2 = "1.2.3.2.1.99.05.01.00", $AB2 = "1.2.3.2.1.99.99.03.00", OR($AJ2=0, ISBLANK($AJ2))),
      0,
      IF(AND($AE2 = "NÃO", YEAR($G2) &lt;2022),
           12,
           IF(AND($AE2 = "NÃO", YEAR($G2) &gt;=2022),
                12 - (MONTH($G2)-1),
                IF(AND($AE2 = "SIM", YEAR($G2) &lt;2022),
                     11,
                     IF(AND($AE2 = "SIM", YEAR($G2) &gt;=2022),
                          12 - MONTH($G2)
                     )
                )
           )
      )
)</f>
        <v>12</v>
      </c>
      <c r="AL2" s="18">
        <f>IF(OR($AB2 = "1.2.3.2.1.99.05.01.00", $AB2 = "1.2.3.2.1.99.99.03.00"),
      0,
      IF(AND($AE2 = "NÃO", OR($AA2=0, ISBLANK($AA2))),
           (((((($AG2+$AH2)-$AJ2))*4)/100)/12),
           IF(AND($AE2 = "NÃO", OR($AA2 &gt;0, NOT(ISBLANK($AA2)))),
                ((((($AA2+$AH2)-$AJ2)*4)/100)/12),
                IF($AE2="SIM",
                     (((($AG2-$AJ2)*4)/100)/12)
                )
           )
      )
)</f>
        <v>277.50666666666666</v>
      </c>
      <c r="AM2" s="18">
        <f>AK2*AL2</f>
        <v>3330.08</v>
      </c>
      <c r="AN2" s="18" t="str">
        <f>VLOOKUP($AC2,APOIO!$D:$F,3,FALSE())</f>
        <v>1.2.3.8.1.02.01.98.10</v>
      </c>
      <c r="AO2" s="18">
        <f>AI2-AM2</f>
        <v>100734.92</v>
      </c>
    </row>
    <row r="3" spans="1:41" ht="44.85" customHeight="1" x14ac:dyDescent="0.2">
      <c r="A3" s="11" t="s">
        <v>57</v>
      </c>
      <c r="B3" s="12" t="s">
        <v>58</v>
      </c>
      <c r="C3" s="11">
        <v>8611</v>
      </c>
      <c r="D3" s="11" t="s">
        <v>43</v>
      </c>
      <c r="E3" s="11" t="s">
        <v>44</v>
      </c>
      <c r="F3" s="12" t="s">
        <v>59</v>
      </c>
      <c r="G3" s="13" t="s">
        <v>60</v>
      </c>
      <c r="H3" s="11">
        <v>0</v>
      </c>
      <c r="I3" s="13"/>
      <c r="J3" s="11"/>
      <c r="K3" s="12"/>
      <c r="L3" s="11"/>
      <c r="M3" s="12"/>
      <c r="N3" s="12"/>
      <c r="O3" s="11" t="s">
        <v>47</v>
      </c>
      <c r="P3" s="12" t="s">
        <v>61</v>
      </c>
      <c r="Q3" s="14" t="s">
        <v>62</v>
      </c>
      <c r="R3" s="11" t="s">
        <v>50</v>
      </c>
      <c r="S3" s="11" t="s">
        <v>51</v>
      </c>
      <c r="T3" s="11" t="s">
        <v>52</v>
      </c>
      <c r="U3" s="11" t="s">
        <v>52</v>
      </c>
      <c r="V3" s="12" t="s">
        <v>53</v>
      </c>
      <c r="W3" s="12">
        <v>600</v>
      </c>
      <c r="X3" s="15" t="s">
        <v>63</v>
      </c>
      <c r="Y3" s="16" t="s">
        <v>48</v>
      </c>
      <c r="Z3" s="17">
        <v>3262</v>
      </c>
      <c r="AA3" s="16"/>
      <c r="AB3" s="12" t="str">
        <f>VLOOKUP($AC3,APOIO!$D:$E,2,FALSE())</f>
        <v>1.2.3.2.1.01.98.10.00</v>
      </c>
      <c r="AC3" s="12" t="s">
        <v>55</v>
      </c>
      <c r="AD3" s="11" t="s">
        <v>56</v>
      </c>
      <c r="AE3" s="11" t="s">
        <v>56</v>
      </c>
      <c r="AF3" s="18">
        <v>43749</v>
      </c>
      <c r="AG3" s="18">
        <v>305546.59999999998</v>
      </c>
      <c r="AH3" s="18"/>
      <c r="AI3" s="18">
        <f>IF(AND($AE3 = "NÃO", OR($AA3=0, ISBLANK($AA3))),
      $AF3+$AG3+$AH3,
      IF(AND($AE3 = "NÃO", OR($AA3 &gt;0, NOT(ISBLANK($AA3)))),
           $AA3+$AH3,
           IF($AE3 = "SIM",
                $AF3+$AG3
           )
      )
)</f>
        <v>349295.6</v>
      </c>
      <c r="AJ3" s="18">
        <f>IF(OR($AB3 = "1.2.3.2.1.99.05.01.00", $AB3 = "1.2.3.2.1.99.99.03.00"),
      0,
      IF(AND($AE3 = "NÃO", OR($AA3=0, ISBLANK($AA3))),
           ($AG3+$AH3)*20/100,
           IF(AND($AE3 = "NÃO", OR($AA3 &gt;0, NOT(ISBLANK($AA3)))),
                ($AA3+$AH3)*20/100,
                IF($AE3="SIM",
                     $AG3*20/100
                )
           )
      )
)</f>
        <v>61109.32</v>
      </c>
      <c r="AK3" s="19">
        <f>IF(OR($AB3 = "1.2.3.2.1.99.05.01.00", $AB3 = "1.2.3.2.1.99.99.03.00", OR($AJ3=0, ISBLANK($AJ3))),
      0,
      IF(AND($AE3 = "NÃO", YEAR($G3) &lt;2022),
           12,
           IF(AND($AE3 = "NÃO", YEAR($G3) &gt;=2022),
                12 - (MONTH($G3)-1),
                IF(AND($AE3 = "SIM", YEAR($G3) &lt;2022),
                     11,
                     IF(AND($AE3 = "SIM", YEAR($G3) &gt;=2022),
                          12 - MONTH($G3)
                     )
                )
           )
      )
)</f>
        <v>11</v>
      </c>
      <c r="AL3" s="18">
        <f>IF(OR($AB3 = "1.2.3.2.1.99.05.01.00", $AB3 = "1.2.3.2.1.99.99.03.00"),
      0,
      IF(AND($AE3 = "NÃO", OR($AA3=0, ISBLANK($AA3))),
           (((((($AG3+$AH3)-$AJ3))*4)/100)/12),
           IF(AND($AE3 = "NÃO", OR($AA3 &gt;0, NOT(ISBLANK($AA3)))),
                ((((($AA3+$AH3)-$AJ3)*4)/100)/12),
                IF($AE3="SIM",
                     (((($AG3-$AJ3)*4)/100)/12)
                )
           )
      )
)</f>
        <v>814.79093333333321</v>
      </c>
      <c r="AM3" s="18">
        <f>AK3*AL3</f>
        <v>8962.7002666666649</v>
      </c>
      <c r="AN3" s="18" t="str">
        <f>VLOOKUP($AC3,APOIO!$D:$F,3,FALSE())</f>
        <v>1.2.3.8.1.02.01.98.10</v>
      </c>
      <c r="AO3" s="18">
        <f>AI3-AM3</f>
        <v>340332.89973333332</v>
      </c>
    </row>
    <row r="4" spans="1:41" ht="44.85" customHeight="1" x14ac:dyDescent="0.2">
      <c r="A4" s="11" t="s">
        <v>64</v>
      </c>
      <c r="B4" s="20" t="s">
        <v>65</v>
      </c>
      <c r="C4" s="21">
        <v>28214</v>
      </c>
      <c r="D4" s="21" t="s">
        <v>43</v>
      </c>
      <c r="E4" s="21" t="s">
        <v>44</v>
      </c>
      <c r="F4" s="20" t="s">
        <v>66</v>
      </c>
      <c r="G4" s="22" t="s">
        <v>67</v>
      </c>
      <c r="H4" s="21">
        <v>0</v>
      </c>
      <c r="I4" s="23"/>
      <c r="J4" s="21"/>
      <c r="K4" s="24"/>
      <c r="L4" s="21"/>
      <c r="M4" s="24"/>
      <c r="N4" s="24"/>
      <c r="O4" s="21" t="s">
        <v>47</v>
      </c>
      <c r="P4" s="20" t="s">
        <v>48</v>
      </c>
      <c r="Q4" s="25" t="s">
        <v>68</v>
      </c>
      <c r="R4" s="21" t="s">
        <v>50</v>
      </c>
      <c r="S4" s="21" t="s">
        <v>51</v>
      </c>
      <c r="T4" s="21" t="s">
        <v>52</v>
      </c>
      <c r="U4" s="21" t="s">
        <v>52</v>
      </c>
      <c r="V4" s="20" t="s">
        <v>56</v>
      </c>
      <c r="W4" s="20">
        <v>962</v>
      </c>
      <c r="X4" s="26" t="s">
        <v>69</v>
      </c>
      <c r="Y4" s="16" t="s">
        <v>48</v>
      </c>
      <c r="Z4" s="17">
        <v>3262</v>
      </c>
      <c r="AA4" s="27"/>
      <c r="AB4" s="20" t="str">
        <f>VLOOKUP($AC4,APOIO!$D:$E,2,FALSE())</f>
        <v>1.2.3.2.1.01.98.10.00</v>
      </c>
      <c r="AC4" s="20" t="s">
        <v>55</v>
      </c>
      <c r="AD4" s="21" t="s">
        <v>56</v>
      </c>
      <c r="AE4" s="21" t="s">
        <v>56</v>
      </c>
      <c r="AF4" s="28">
        <v>248840.54</v>
      </c>
      <c r="AG4" s="28">
        <v>282157.59000000003</v>
      </c>
      <c r="AH4" s="28"/>
      <c r="AI4" s="28">
        <f>IF(AND($AE4 = "NÃO", OR($AA4=0, ISBLANK($AA4))),
      $AF4+$AG4+$AH4,
      IF(AND($AE4 = "NÃO", OR($AA4 &gt;0, NOT(ISBLANK($AA4)))),
           $AA4+$AH4,
           IF($AE4 = "SIM",
                $AF4+$AG4
           )
      )
)</f>
        <v>530998.13</v>
      </c>
      <c r="AJ4" s="28">
        <f>IF(OR($AB4 = "1.2.3.2.1.99.05.01.00", $AB4 = "1.2.3.2.1.99.99.03.00"),
      0,
      IF(AND($AE4 = "NÃO", OR($AA4=0, ISBLANK($AA4))),
           ($AG4+$AH4)*20/100,
           IF(AND($AE4 = "NÃO", OR($AA4 &gt;0, NOT(ISBLANK($AA4)))),
                ($AA4+$AH4)*20/100,
                IF($AE4="SIM",
                     $AG4*20/100
                )
           )
      )
)</f>
        <v>56431.518000000011</v>
      </c>
      <c r="AK4" s="29">
        <f>IF(OR($AB4 = "1.2.3.2.1.99.05.01.00", $AB4 = "1.2.3.2.1.99.99.03.00", OR($AJ4=0, ISBLANK($AJ4))),
      0,
      IF(AND($AE4 = "NÃO", YEAR($G4) &lt;2022),
           12,
           IF(AND($AE4 = "NÃO", YEAR($G4) &gt;=2022),
                12 - (MONTH($G4)-1),
                IF(AND($AE4 = "SIM", YEAR($G4) &lt;2022),
                     11,
                     IF(AND($AE4 = "SIM", YEAR($G4) &gt;=2022),
                          12 - MONTH($G4)
                     )
                )
           )
      )
)</f>
        <v>11</v>
      </c>
      <c r="AL4" s="28">
        <f>IF(OR($AB4 = "1.2.3.2.1.99.05.01.00", $AB4 = "1.2.3.2.1.99.99.03.00"),
      0,
      IF(AND($AE4 = "NÃO", OR($AA4=0, ISBLANK($AA4))),
           (((((($AG4+$AH4)-$AJ4))*4)/100)/12),
           IF(AND($AE4 = "NÃO", OR($AA4 &gt;0, NOT(ISBLANK($AA4)))),
                ((((($AA4+$AH4)-$AJ4)*4)/100)/12),
                IF($AE4="SIM",
                     (((($AG4-$AJ4)*4)/100)/12)
                )
           )
      )
)</f>
        <v>752.42024000000004</v>
      </c>
      <c r="AM4" s="28">
        <f>AK4*AL4</f>
        <v>8276.6226399999996</v>
      </c>
      <c r="AN4" s="28" t="str">
        <f>VLOOKUP($AC4,APOIO!$D:$F,3,FALSE())</f>
        <v>1.2.3.8.1.02.01.98.10</v>
      </c>
      <c r="AO4" s="28">
        <f>AI4-AM4</f>
        <v>522721.50735999999</v>
      </c>
    </row>
    <row r="5" spans="1:41" ht="44.85" customHeight="1" x14ac:dyDescent="0.2">
      <c r="B5" t="s">
        <v>70</v>
      </c>
      <c r="D5" t="s">
        <v>43</v>
      </c>
      <c r="E5" t="s">
        <v>44</v>
      </c>
      <c r="AI5" s="30"/>
      <c r="AO5" s="30"/>
    </row>
    <row r="6" spans="1:41" x14ac:dyDescent="0.2">
      <c r="AI6" s="30">
        <f>AI2+AI3+AI4</f>
        <v>984358.73</v>
      </c>
      <c r="AL6" s="30">
        <f>AL2+AL3+AL4</f>
        <v>1844.7178399999998</v>
      </c>
      <c r="AM6" s="30">
        <f>AM2+AM3+AM4</f>
        <v>20569.402906666663</v>
      </c>
      <c r="AO6" s="30">
        <f>AO2+AO3+AO4</f>
        <v>963789.32709333324</v>
      </c>
    </row>
    <row r="7" spans="1:41" x14ac:dyDescent="0.2">
      <c r="AI7">
        <v>17886.419999999998</v>
      </c>
    </row>
    <row r="8" spans="1:41" x14ac:dyDescent="0.2">
      <c r="AI8" s="30">
        <f>AI6+AI7</f>
        <v>1002245.15</v>
      </c>
    </row>
    <row r="1048576" ht="12.75" customHeight="1" x14ac:dyDescent="0.2"/>
  </sheetData>
  <autoFilter ref="A1:AO4" xr:uid="{00000000-0009-0000-0000-000000000000}"/>
  <dataValidations count="1">
    <dataValidation type="decimal" operator="greaterThanOrEqual" allowBlank="1" showErrorMessage="1" sqref="AF2:AG4" xr:uid="{00000000-0002-0000-0000-000003000000}">
      <formula1>0</formula1>
      <formula2>0</formula2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ErrorMessage="1" xr:uid="{00000000-0002-0000-0000-000000000000}">
          <x14:formula1>
            <xm:f>APOIO!$D$2:$D$71</xm:f>
          </x14:formula1>
          <x14:formula2>
            <xm:f>0</xm:f>
          </x14:formula2>
          <xm:sqref>AC2:AC4</xm:sqref>
        </x14:dataValidation>
        <x14:dataValidation type="list" operator="equal" allowBlank="1" showErrorMessage="1" xr:uid="{00000000-0002-0000-0000-000001000000}">
          <x14:formula1>
            <xm:f>APOIO!$C$2:$C$3</xm:f>
          </x14:formula1>
          <x14:formula2>
            <xm:f>0</xm:f>
          </x14:formula2>
          <xm:sqref>AD2:AD4</xm:sqref>
        </x14:dataValidation>
        <x14:dataValidation type="list" operator="equal" allowBlank="1" showErrorMessage="1" xr:uid="{00000000-0002-0000-0000-000002000000}">
          <x14:formula1>
            <xm:f>APOIO!$G$2:$G$3</xm:f>
          </x14:formula1>
          <x14:formula2>
            <xm:f>0</xm:f>
          </x14:formula2>
          <xm:sqref>AE2:AE4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1155CC"/>
  </sheetPr>
  <dimension ref="A1:F129"/>
  <sheetViews>
    <sheetView showGridLines="0" zoomScale="140" zoomScaleNormal="140" workbookViewId="0">
      <pane ySplit="1" topLeftCell="A2" activePane="bottomLeft" state="frozen"/>
      <selection pane="bottomLeft" activeCell="B3" sqref="B3"/>
    </sheetView>
  </sheetViews>
  <sheetFormatPr defaultColWidth="12.85546875" defaultRowHeight="12.75" x14ac:dyDescent="0.2"/>
  <cols>
    <col min="1" max="1" width="19.42578125" customWidth="1"/>
    <col min="3" max="3" width="21" customWidth="1"/>
    <col min="4" max="4" width="20.7109375" customWidth="1"/>
  </cols>
  <sheetData>
    <row r="1" spans="1:6" ht="30" x14ac:dyDescent="0.2">
      <c r="A1" s="7" t="s">
        <v>283</v>
      </c>
      <c r="B1" s="7" t="s">
        <v>293</v>
      </c>
      <c r="C1" s="7" t="s">
        <v>294</v>
      </c>
      <c r="D1" s="7" t="s">
        <v>295</v>
      </c>
      <c r="E1" s="7" t="s">
        <v>296</v>
      </c>
      <c r="F1" s="7" t="s">
        <v>297</v>
      </c>
    </row>
    <row r="2" spans="1:6" ht="14.25" x14ac:dyDescent="0.2">
      <c r="A2" s="11" t="str">
        <f ca="1">IFERROR(__xludf.dummyfunction("UNIQUE(FLATTEN(QUERY(APOIO!$E$2:$E$9203, ""SELECT E WHERE E LIKE '%.%'""),QUERY(APOIO!$F$2:$F$9203, ""SELECT F WHERE F LIKE '%.%'"")))"),"#REF!")</f>
        <v>#REF!</v>
      </c>
      <c r="B2" s="66">
        <v>44926</v>
      </c>
      <c r="C2" s="11">
        <f>APOIO!$B$2</f>
        <v>3262</v>
      </c>
      <c r="D2" s="18">
        <f ca="1">IFERROR(__xludf.dummyfunction("SUM(
IFERROR(QUERY('Sintética 20212022'!A:I, CONCATENATE(""SELECT I WHERE A="", ""'"",$A2,""'"")),0),
IFERROR(QUERY('Sintética 20212022'!A:I, CONCATENATE(""SELECT H WHERE G="", ""'"",$A2,""'"")),0),
)"),0)</f>
        <v>0</v>
      </c>
      <c r="E2" s="53">
        <v>2022</v>
      </c>
      <c r="F2" s="53">
        <v>12</v>
      </c>
    </row>
    <row r="3" spans="1:6" ht="14.25" x14ac:dyDescent="0.2">
      <c r="A3" s="11"/>
      <c r="B3" s="66">
        <v>44926</v>
      </c>
      <c r="C3" s="11">
        <f>APOIO!$B$2</f>
        <v>3262</v>
      </c>
      <c r="D3" s="18">
        <f ca="1">IFERROR(__xludf.dummyfunction("SUM(
IFERROR(QUERY('Sintética 20212022'!A:I, CONCATENATE(""SELECT I WHERE A="", ""'"",$A3,""'"")),0),
IFERROR(QUERY('Sintética 20212022'!A:I, CONCATENATE(""SELECT H WHERE G="", ""'"",$A3,""'"")),0),
)"),1307530.52056)</f>
        <v>1307530.5205600001</v>
      </c>
      <c r="E3" s="53">
        <v>2022</v>
      </c>
      <c r="F3" s="53">
        <v>12</v>
      </c>
    </row>
    <row r="4" spans="1:6" ht="14.25" x14ac:dyDescent="0.2">
      <c r="A4" s="11"/>
      <c r="B4" s="66">
        <v>44926</v>
      </c>
      <c r="C4" s="11">
        <f>APOIO!$B$2</f>
        <v>3262</v>
      </c>
      <c r="D4" s="18">
        <f ca="1">IFERROR(__xludf.dummyfunction("SUM(
IFERROR(QUERY('Sintética 20212022'!A:I, CONCATENATE(""SELECT I WHERE A="", ""'"",$A4,""'"")),0),
IFERROR(QUERY('Sintética 20212022'!A:I, CONCATENATE(""SELECT H WHERE G="", ""'"",$A4,""'"")),0),
)"),1307530.52056)</f>
        <v>1307530.5205600001</v>
      </c>
      <c r="E4" s="53">
        <v>2022</v>
      </c>
      <c r="F4" s="53">
        <v>12</v>
      </c>
    </row>
    <row r="5" spans="1:6" ht="14.25" x14ac:dyDescent="0.2">
      <c r="A5" s="11"/>
      <c r="B5" s="66">
        <v>44926</v>
      </c>
      <c r="C5" s="11">
        <f>APOIO!$B$2</f>
        <v>3262</v>
      </c>
      <c r="D5" s="18">
        <f ca="1">IFERROR(__xludf.dummyfunction("SUM(
IFERROR(QUERY('Sintética 20212022'!A:I, CONCATENATE(""SELECT I WHERE A="", ""'"",$A5,""'"")),0),
IFERROR(QUERY('Sintética 20212022'!A:I, CONCATENATE(""SELECT H WHERE G="", ""'"",$A5,""'"")),0),
)"),1307530.52056)</f>
        <v>1307530.5205600001</v>
      </c>
      <c r="E5" s="53">
        <v>2022</v>
      </c>
      <c r="F5" s="53">
        <v>12</v>
      </c>
    </row>
    <row r="6" spans="1:6" ht="14.25" x14ac:dyDescent="0.2">
      <c r="A6" s="11"/>
      <c r="B6" s="66">
        <v>44926</v>
      </c>
      <c r="C6" s="11">
        <f>APOIO!$B$2</f>
        <v>3262</v>
      </c>
      <c r="D6" s="18">
        <f ca="1">IFERROR(__xludf.dummyfunction("SUM(
IFERROR(QUERY('Sintética 20212022'!A:I, CONCATENATE(""SELECT I WHERE A="", ""'"",$A6,""'"")),0),
IFERROR(QUERY('Sintética 20212022'!A:I, CONCATENATE(""SELECT H WHERE G="", ""'"",$A6,""'"")),0),
)"),1307530.52056)</f>
        <v>1307530.5205600001</v>
      </c>
      <c r="E6" s="53">
        <v>2022</v>
      </c>
      <c r="F6" s="53">
        <v>12</v>
      </c>
    </row>
    <row r="7" spans="1:6" ht="14.25" x14ac:dyDescent="0.2">
      <c r="A7" s="11"/>
      <c r="B7" s="66">
        <v>44926</v>
      </c>
      <c r="C7" s="11">
        <f>APOIO!$B$2</f>
        <v>3262</v>
      </c>
      <c r="D7" s="18">
        <f ca="1">IFERROR(__xludf.dummyfunction("SUM(
IFERROR(QUERY('Sintética 20212022'!A:I, CONCATENATE(""SELECT I WHERE A="", ""'"",$A7,""'"")),0),
IFERROR(QUERY('Sintética 20212022'!A:I, CONCATENATE(""SELECT H WHERE G="", ""'"",$A7,""'"")),0),
)"),1307530.52056)</f>
        <v>1307530.5205600001</v>
      </c>
      <c r="E7" s="53">
        <v>2022</v>
      </c>
      <c r="F7" s="53">
        <v>12</v>
      </c>
    </row>
    <row r="8" spans="1:6" ht="14.25" x14ac:dyDescent="0.2">
      <c r="A8" s="11"/>
      <c r="B8" s="66">
        <v>44926</v>
      </c>
      <c r="C8" s="11">
        <f>APOIO!$B$2</f>
        <v>3262</v>
      </c>
      <c r="D8" s="18">
        <f ca="1">IFERROR(__xludf.dummyfunction("SUM(
IFERROR(QUERY('Sintética 20212022'!A:I, CONCATENATE(""SELECT I WHERE A="", ""'"",$A8,""'"")),0),
IFERROR(QUERY('Sintética 20212022'!A:I, CONCATENATE(""SELECT H WHERE G="", ""'"",$A8,""'"")),0),
)"),1307530.52056)</f>
        <v>1307530.5205600001</v>
      </c>
      <c r="E8" s="53">
        <v>2022</v>
      </c>
      <c r="F8" s="53">
        <v>12</v>
      </c>
    </row>
    <row r="9" spans="1:6" ht="14.25" x14ac:dyDescent="0.2">
      <c r="A9" s="11"/>
      <c r="B9" s="66">
        <v>44926</v>
      </c>
      <c r="C9" s="11">
        <f>APOIO!$B$2</f>
        <v>3262</v>
      </c>
      <c r="D9" s="18">
        <f ca="1">IFERROR(__xludf.dummyfunction("SUM(
IFERROR(QUERY('Sintética 20212022'!A:I, CONCATENATE(""SELECT I WHERE A="", ""'"",$A9,""'"")),0),
IFERROR(QUERY('Sintética 20212022'!A:I, CONCATENATE(""SELECT H WHERE G="", ""'"",$A9,""'"")),0),
)"),1307530.52056)</f>
        <v>1307530.5205600001</v>
      </c>
      <c r="E9" s="53">
        <v>2022</v>
      </c>
      <c r="F9" s="53">
        <v>12</v>
      </c>
    </row>
    <row r="10" spans="1:6" ht="14.25" x14ac:dyDescent="0.2">
      <c r="A10" s="11"/>
      <c r="B10" s="66">
        <v>44926</v>
      </c>
      <c r="C10" s="11">
        <f>APOIO!$B$2</f>
        <v>3262</v>
      </c>
      <c r="D10" s="18">
        <f ca="1">IFERROR(__xludf.dummyfunction("SUM(
IFERROR(QUERY('Sintética 20212022'!A:I, CONCATENATE(""SELECT I WHERE A="", ""'"",$A10,""'"")),0),
IFERROR(QUERY('Sintética 20212022'!A:I, CONCATENATE(""SELECT H WHERE G="", ""'"",$A10,""'"")),0),
)"),1307530.52056)</f>
        <v>1307530.5205600001</v>
      </c>
      <c r="E10" s="53">
        <v>2022</v>
      </c>
      <c r="F10" s="53">
        <v>12</v>
      </c>
    </row>
    <row r="11" spans="1:6" ht="14.25" x14ac:dyDescent="0.2">
      <c r="A11" s="11"/>
      <c r="B11" s="66">
        <v>44926</v>
      </c>
      <c r="C11" s="11">
        <f>APOIO!$B$2</f>
        <v>3262</v>
      </c>
      <c r="D11" s="18">
        <f ca="1">IFERROR(__xludf.dummyfunction("SUM(
IFERROR(QUERY('Sintética 20212022'!A:I, CONCATENATE(""SELECT I WHERE A="", ""'"",$A11,""'"")),0),
IFERROR(QUERY('Sintética 20212022'!A:I, CONCATENATE(""SELECT H WHERE G="", ""'"",$A11,""'"")),0),
)"),1307530.52056)</f>
        <v>1307530.5205600001</v>
      </c>
      <c r="E11" s="53">
        <v>2022</v>
      </c>
      <c r="F11" s="53">
        <v>12</v>
      </c>
    </row>
    <row r="12" spans="1:6" ht="14.25" x14ac:dyDescent="0.2">
      <c r="A12" s="11"/>
      <c r="B12" s="66">
        <v>44926</v>
      </c>
      <c r="C12" s="11">
        <f>APOIO!$B$2</f>
        <v>3262</v>
      </c>
      <c r="D12" s="18">
        <f ca="1">IFERROR(__xludf.dummyfunction("SUM(
IFERROR(QUERY('Sintética 20212022'!A:I, CONCATENATE(""SELECT I WHERE A="", ""'"",$A12,""'"")),0),
IFERROR(QUERY('Sintética 20212022'!A:I, CONCATENATE(""SELECT H WHERE G="", ""'"",$A12,""'"")),0),
)"),1307530.52056)</f>
        <v>1307530.5205600001</v>
      </c>
      <c r="E12" s="53">
        <v>2022</v>
      </c>
      <c r="F12" s="53">
        <v>12</v>
      </c>
    </row>
    <row r="13" spans="1:6" ht="14.25" x14ac:dyDescent="0.2">
      <c r="A13" s="11"/>
      <c r="B13" s="66">
        <v>44926</v>
      </c>
      <c r="C13" s="11">
        <f>APOIO!$B$2</f>
        <v>3262</v>
      </c>
      <c r="D13" s="18">
        <f ca="1">IFERROR(__xludf.dummyfunction("SUM(
IFERROR(QUERY('Sintética 20212022'!A:I, CONCATENATE(""SELECT I WHERE A="", ""'"",$A13,""'"")),0),
IFERROR(QUERY('Sintética 20212022'!A:I, CONCATENATE(""SELECT H WHERE G="", ""'"",$A13,""'"")),0),
)"),1307530.52056)</f>
        <v>1307530.5205600001</v>
      </c>
      <c r="E13" s="53">
        <v>2022</v>
      </c>
      <c r="F13" s="53">
        <v>12</v>
      </c>
    </row>
    <row r="14" spans="1:6" ht="14.25" x14ac:dyDescent="0.2">
      <c r="A14" s="11"/>
      <c r="B14" s="66">
        <v>44926</v>
      </c>
      <c r="C14" s="11">
        <f>APOIO!$B$2</f>
        <v>3262</v>
      </c>
      <c r="D14" s="18">
        <f ca="1">IFERROR(__xludf.dummyfunction("SUM(
IFERROR(QUERY('Sintética 20212022'!A:I, CONCATENATE(""SELECT I WHERE A="", ""'"",$A14,""'"")),0),
IFERROR(QUERY('Sintética 20212022'!A:I, CONCATENATE(""SELECT H WHERE G="", ""'"",$A14,""'"")),0),
)"),1307530.52056)</f>
        <v>1307530.5205600001</v>
      </c>
      <c r="E14" s="53">
        <v>2022</v>
      </c>
      <c r="F14" s="53">
        <v>12</v>
      </c>
    </row>
    <row r="15" spans="1:6" ht="14.25" x14ac:dyDescent="0.2">
      <c r="A15" s="11"/>
      <c r="B15" s="66">
        <v>44926</v>
      </c>
      <c r="C15" s="11">
        <f>APOIO!$B$2</f>
        <v>3262</v>
      </c>
      <c r="D15" s="18">
        <f ca="1">IFERROR(__xludf.dummyfunction("SUM(
IFERROR(QUERY('Sintética 20212022'!A:I, CONCATENATE(""SELECT I WHERE A="", ""'"",$A15,""'"")),0),
IFERROR(QUERY('Sintética 20212022'!A:I, CONCATENATE(""SELECT H WHERE G="", ""'"",$A15,""'"")),0),
)"),1307530.52056)</f>
        <v>1307530.5205600001</v>
      </c>
      <c r="E15" s="53">
        <v>2022</v>
      </c>
      <c r="F15" s="53">
        <v>12</v>
      </c>
    </row>
    <row r="16" spans="1:6" ht="14.25" x14ac:dyDescent="0.2">
      <c r="A16" s="11"/>
      <c r="B16" s="66">
        <v>44926</v>
      </c>
      <c r="C16" s="11">
        <f>APOIO!$B$2</f>
        <v>3262</v>
      </c>
      <c r="D16" s="18">
        <f ca="1">IFERROR(__xludf.dummyfunction("SUM(
IFERROR(QUERY('Sintética 20212022'!A:I, CONCATENATE(""SELECT I WHERE A="", ""'"",$A16,""'"")),0),
IFERROR(QUERY('Sintética 20212022'!A:I, CONCATENATE(""SELECT H WHERE G="", ""'"",$A16,""'"")),0),
)"),1307530.52056)</f>
        <v>1307530.5205600001</v>
      </c>
      <c r="E16" s="53">
        <v>2022</v>
      </c>
      <c r="F16" s="53">
        <v>12</v>
      </c>
    </row>
    <row r="17" spans="1:6" ht="14.25" x14ac:dyDescent="0.2">
      <c r="A17" s="11"/>
      <c r="B17" s="66">
        <v>44926</v>
      </c>
      <c r="C17" s="11">
        <f>APOIO!$B$2</f>
        <v>3262</v>
      </c>
      <c r="D17" s="18">
        <f ca="1">IFERROR(__xludf.dummyfunction("SUM(
IFERROR(QUERY('Sintética 20212022'!A:I, CONCATENATE(""SELECT I WHERE A="", ""'"",$A17,""'"")),0),
IFERROR(QUERY('Sintética 20212022'!A:I, CONCATENATE(""SELECT H WHERE G="", ""'"",$A17,""'"")),0),
)"),1307530.52056)</f>
        <v>1307530.5205600001</v>
      </c>
      <c r="E17" s="53">
        <v>2022</v>
      </c>
      <c r="F17" s="53">
        <v>12</v>
      </c>
    </row>
    <row r="18" spans="1:6" ht="14.25" x14ac:dyDescent="0.2">
      <c r="A18" s="53"/>
      <c r="B18" s="66">
        <v>44926</v>
      </c>
      <c r="C18" s="11">
        <f>APOIO!$B$2</f>
        <v>3262</v>
      </c>
      <c r="D18" s="18">
        <f ca="1">IFERROR(__xludf.dummyfunction("SUM(
IFERROR(QUERY('Sintética 20212022'!A:I, CONCATENATE(""SELECT I WHERE A="", ""'"",$A18,""'"")),0),
IFERROR(QUERY('Sintética 20212022'!A:I, CONCATENATE(""SELECT H WHERE G="", ""'"",$A18,""'"")),0),
)"),1307530.52056)</f>
        <v>1307530.5205600001</v>
      </c>
      <c r="E18" s="53">
        <v>2022</v>
      </c>
      <c r="F18" s="53">
        <v>12</v>
      </c>
    </row>
    <row r="19" spans="1:6" ht="14.25" x14ac:dyDescent="0.2">
      <c r="A19" s="11"/>
      <c r="B19" s="66">
        <v>44926</v>
      </c>
      <c r="C19" s="11">
        <f>APOIO!$B$2</f>
        <v>3262</v>
      </c>
      <c r="D19" s="18">
        <f ca="1">IFERROR(__xludf.dummyfunction("SUM(
IFERROR(QUERY('Sintética 20212022'!A:I, CONCATENATE(""SELECT I WHERE A="", ""'"",$A19,""'"")),0),
IFERROR(QUERY('Sintética 20212022'!A:I, CONCATENATE(""SELECT H WHERE G="", ""'"",$A19,""'"")),0),
)"),1307530.52056)</f>
        <v>1307530.5205600001</v>
      </c>
      <c r="E19" s="53">
        <v>2022</v>
      </c>
      <c r="F19" s="53">
        <v>12</v>
      </c>
    </row>
    <row r="20" spans="1:6" ht="14.25" x14ac:dyDescent="0.2">
      <c r="A20" s="11"/>
      <c r="B20" s="66">
        <v>44926</v>
      </c>
      <c r="C20" s="11">
        <f>APOIO!$B$2</f>
        <v>3262</v>
      </c>
      <c r="D20" s="18">
        <f ca="1">IFERROR(__xludf.dummyfunction("SUM(
IFERROR(QUERY('Sintética 20212022'!A:I, CONCATENATE(""SELECT I WHERE A="", ""'"",$A20,""'"")),0),
IFERROR(QUERY('Sintética 20212022'!A:I, CONCATENATE(""SELECT H WHERE G="", ""'"",$A20,""'"")),0),
)"),1307530.52056)</f>
        <v>1307530.5205600001</v>
      </c>
      <c r="E20" s="53">
        <v>2022</v>
      </c>
      <c r="F20" s="53">
        <v>12</v>
      </c>
    </row>
    <row r="21" spans="1:6" ht="14.25" x14ac:dyDescent="0.2">
      <c r="A21" s="11"/>
      <c r="B21" s="66">
        <v>44926</v>
      </c>
      <c r="C21" s="11">
        <f>APOIO!$B$2</f>
        <v>3262</v>
      </c>
      <c r="D21" s="18">
        <f ca="1">IFERROR(__xludf.dummyfunction("SUM(
IFERROR(QUERY('Sintética 20212022'!A:I, CONCATENATE(""SELECT I WHERE A="", ""'"",$A21,""'"")),0),
IFERROR(QUERY('Sintética 20212022'!A:I, CONCATENATE(""SELECT H WHERE G="", ""'"",$A21,""'"")),0),
)"),1307530.52056)</f>
        <v>1307530.5205600001</v>
      </c>
      <c r="E21" s="53">
        <v>2022</v>
      </c>
      <c r="F21" s="53">
        <v>12</v>
      </c>
    </row>
    <row r="22" spans="1:6" ht="14.25" x14ac:dyDescent="0.2">
      <c r="A22" s="11"/>
      <c r="B22" s="66">
        <v>44926</v>
      </c>
      <c r="C22" s="11">
        <f>APOIO!$B$2</f>
        <v>3262</v>
      </c>
      <c r="D22" s="18">
        <f ca="1">IFERROR(__xludf.dummyfunction("SUM(
IFERROR(QUERY('Sintética 20212022'!A:I, CONCATENATE(""SELECT I WHERE A="", ""'"",$A22,""'"")),0),
IFERROR(QUERY('Sintética 20212022'!A:I, CONCATENATE(""SELECT H WHERE G="", ""'"",$A22,""'"")),0),
)"),1307530.52056)</f>
        <v>1307530.5205600001</v>
      </c>
      <c r="E22" s="53">
        <v>2022</v>
      </c>
      <c r="F22" s="53">
        <v>12</v>
      </c>
    </row>
    <row r="23" spans="1:6" ht="14.25" x14ac:dyDescent="0.2">
      <c r="A23" s="11"/>
      <c r="B23" s="66">
        <v>44926</v>
      </c>
      <c r="C23" s="11">
        <f>APOIO!$B$2</f>
        <v>3262</v>
      </c>
      <c r="D23" s="18">
        <f ca="1">IFERROR(__xludf.dummyfunction("SUM(
IFERROR(QUERY('Sintética 20212022'!A:I, CONCATENATE(""SELECT I WHERE A="", ""'"",$A23,""'"")),0),
IFERROR(QUERY('Sintética 20212022'!A:I, CONCATENATE(""SELECT H WHERE G="", ""'"",$A23,""'"")),0),
)"),1307530.52056)</f>
        <v>1307530.5205600001</v>
      </c>
      <c r="E23" s="53">
        <v>2022</v>
      </c>
      <c r="F23" s="53">
        <v>12</v>
      </c>
    </row>
    <row r="24" spans="1:6" ht="14.25" x14ac:dyDescent="0.2">
      <c r="A24" s="11"/>
      <c r="B24" s="66">
        <v>44926</v>
      </c>
      <c r="C24" s="11">
        <f>APOIO!$B$2</f>
        <v>3262</v>
      </c>
      <c r="D24" s="18">
        <f ca="1">IFERROR(__xludf.dummyfunction("SUM(
IFERROR(QUERY('Sintética 20212022'!A:I, CONCATENATE(""SELECT I WHERE A="", ""'"",$A24,""'"")),0),
IFERROR(QUERY('Sintética 20212022'!A:I, CONCATENATE(""SELECT H WHERE G="", ""'"",$A24,""'"")),0),
)"),1307530.52056)</f>
        <v>1307530.5205600001</v>
      </c>
      <c r="E24" s="53">
        <v>2022</v>
      </c>
      <c r="F24" s="53">
        <v>12</v>
      </c>
    </row>
    <row r="25" spans="1:6" ht="14.25" x14ac:dyDescent="0.2">
      <c r="A25" s="11"/>
      <c r="B25" s="66">
        <v>44926</v>
      </c>
      <c r="C25" s="11">
        <f>APOIO!$B$2</f>
        <v>3262</v>
      </c>
      <c r="D25" s="18">
        <f ca="1">IFERROR(__xludf.dummyfunction("SUM(
IFERROR(QUERY('Sintética 20212022'!A:I, CONCATENATE(""SELECT I WHERE A="", ""'"",$A25,""'"")),0),
IFERROR(QUERY('Sintética 20212022'!A:I, CONCATENATE(""SELECT H WHERE G="", ""'"",$A25,""'"")),0),
)"),1307530.52056)</f>
        <v>1307530.5205600001</v>
      </c>
      <c r="E25" s="53">
        <v>2022</v>
      </c>
      <c r="F25" s="53">
        <v>12</v>
      </c>
    </row>
    <row r="26" spans="1:6" ht="14.25" x14ac:dyDescent="0.2">
      <c r="A26" s="11"/>
      <c r="B26" s="66">
        <v>44926</v>
      </c>
      <c r="C26" s="11">
        <f>APOIO!$B$2</f>
        <v>3262</v>
      </c>
      <c r="D26" s="18">
        <f ca="1">IFERROR(__xludf.dummyfunction("SUM(
IFERROR(QUERY('Sintética 20212022'!A:I, CONCATENATE(""SELECT I WHERE A="", ""'"",$A26,""'"")),0),
IFERROR(QUERY('Sintética 20212022'!A:I, CONCATENATE(""SELECT H WHERE G="", ""'"",$A26,""'"")),0),
)"),1307530.52056)</f>
        <v>1307530.5205600001</v>
      </c>
      <c r="E26" s="53">
        <v>2022</v>
      </c>
      <c r="F26" s="53">
        <v>12</v>
      </c>
    </row>
    <row r="27" spans="1:6" ht="14.25" x14ac:dyDescent="0.2">
      <c r="A27" s="11"/>
      <c r="B27" s="66">
        <v>44926</v>
      </c>
      <c r="C27" s="11">
        <f>APOIO!$B$2</f>
        <v>3262</v>
      </c>
      <c r="D27" s="18">
        <f ca="1">IFERROR(__xludf.dummyfunction("SUM(
IFERROR(QUERY('Sintética 20212022'!A:I, CONCATENATE(""SELECT I WHERE A="", ""'"",$A27,""'"")),0),
IFERROR(QUERY('Sintética 20212022'!A:I, CONCATENATE(""SELECT H WHERE G="", ""'"",$A27,""'"")),0),
)"),1307530.52056)</f>
        <v>1307530.5205600001</v>
      </c>
      <c r="E27" s="53">
        <v>2022</v>
      </c>
      <c r="F27" s="53">
        <v>12</v>
      </c>
    </row>
    <row r="28" spans="1:6" ht="14.25" x14ac:dyDescent="0.2">
      <c r="A28" s="11"/>
      <c r="B28" s="66">
        <v>44926</v>
      </c>
      <c r="C28" s="11">
        <f>APOIO!$B$2</f>
        <v>3262</v>
      </c>
      <c r="D28" s="18">
        <f ca="1">IFERROR(__xludf.dummyfunction("SUM(
IFERROR(QUERY('Sintética 20212022'!A:I, CONCATENATE(""SELECT I WHERE A="", ""'"",$A28,""'"")),0),
IFERROR(QUERY('Sintética 20212022'!A:I, CONCATENATE(""SELECT H WHERE G="", ""'"",$A28,""'"")),0),
)"),1307530.52056)</f>
        <v>1307530.5205600001</v>
      </c>
      <c r="E28" s="53">
        <v>2022</v>
      </c>
      <c r="F28" s="53">
        <v>12</v>
      </c>
    </row>
    <row r="29" spans="1:6" ht="14.25" x14ac:dyDescent="0.2">
      <c r="A29" s="11"/>
      <c r="B29" s="66">
        <v>44926</v>
      </c>
      <c r="C29" s="11">
        <f>APOIO!$B$2</f>
        <v>3262</v>
      </c>
      <c r="D29" s="18">
        <f ca="1">IFERROR(__xludf.dummyfunction("SUM(
IFERROR(QUERY('Sintética 20212022'!A:I, CONCATENATE(""SELECT I WHERE A="", ""'"",$A29,""'"")),0),
IFERROR(QUERY('Sintética 20212022'!A:I, CONCATENATE(""SELECT H WHERE G="", ""'"",$A29,""'"")),0),
)"),1307530.52056)</f>
        <v>1307530.5205600001</v>
      </c>
      <c r="E29" s="53">
        <v>2022</v>
      </c>
      <c r="F29" s="53">
        <v>12</v>
      </c>
    </row>
    <row r="30" spans="1:6" ht="14.25" x14ac:dyDescent="0.2">
      <c r="A30" s="11"/>
      <c r="B30" s="66">
        <v>44926</v>
      </c>
      <c r="C30" s="11">
        <f>APOIO!$B$2</f>
        <v>3262</v>
      </c>
      <c r="D30" s="18">
        <f ca="1">IFERROR(__xludf.dummyfunction("SUM(
IFERROR(QUERY('Sintética 20212022'!A:I, CONCATENATE(""SELECT I WHERE A="", ""'"",$A30,""'"")),0),
IFERROR(QUERY('Sintética 20212022'!A:I, CONCATENATE(""SELECT H WHERE G="", ""'"",$A30,""'"")),0),
)"),1307530.52056)</f>
        <v>1307530.5205600001</v>
      </c>
      <c r="E30" s="53">
        <v>2022</v>
      </c>
      <c r="F30" s="53">
        <v>12</v>
      </c>
    </row>
    <row r="31" spans="1:6" ht="14.25" x14ac:dyDescent="0.2">
      <c r="A31" s="11"/>
      <c r="B31" s="66">
        <v>44926</v>
      </c>
      <c r="C31" s="11">
        <f>APOIO!$B$2</f>
        <v>3262</v>
      </c>
      <c r="D31" s="18">
        <f ca="1">IFERROR(__xludf.dummyfunction("SUM(
IFERROR(QUERY('Sintética 20212022'!A:I, CONCATENATE(""SELECT I WHERE A="", ""'"",$A31,""'"")),0),
IFERROR(QUERY('Sintética 20212022'!A:I, CONCATENATE(""SELECT H WHERE G="", ""'"",$A31,""'"")),0),
)"),1307530.52056)</f>
        <v>1307530.5205600001</v>
      </c>
      <c r="E31" s="53">
        <v>2022</v>
      </c>
      <c r="F31" s="53">
        <v>12</v>
      </c>
    </row>
    <row r="32" spans="1:6" ht="14.25" x14ac:dyDescent="0.2">
      <c r="A32" s="11"/>
      <c r="B32" s="66">
        <v>44926</v>
      </c>
      <c r="C32" s="11">
        <f>APOIO!$B$2</f>
        <v>3262</v>
      </c>
      <c r="D32" s="18">
        <f ca="1">IFERROR(__xludf.dummyfunction("SUM(
IFERROR(QUERY('Sintética 20212022'!A:I, CONCATENATE(""SELECT I WHERE A="", ""'"",$A32,""'"")),0),
IFERROR(QUERY('Sintética 20212022'!A:I, CONCATENATE(""SELECT H WHERE G="", ""'"",$A32,""'"")),0),
)"),1307530.52056)</f>
        <v>1307530.5205600001</v>
      </c>
      <c r="E32" s="53">
        <v>2022</v>
      </c>
      <c r="F32" s="53">
        <v>12</v>
      </c>
    </row>
    <row r="33" spans="1:6" ht="14.25" x14ac:dyDescent="0.2">
      <c r="A33" s="11"/>
      <c r="B33" s="66">
        <v>44926</v>
      </c>
      <c r="C33" s="11">
        <f>APOIO!$B$2</f>
        <v>3262</v>
      </c>
      <c r="D33" s="18">
        <f ca="1">IFERROR(__xludf.dummyfunction("SUM(
IFERROR(QUERY('Sintética 20212022'!A:I, CONCATENATE(""SELECT I WHERE A="", ""'"",$A33,""'"")),0),
IFERROR(QUERY('Sintética 20212022'!A:I, CONCATENATE(""SELECT H WHERE G="", ""'"",$A33,""'"")),0),
)"),1307530.52056)</f>
        <v>1307530.5205600001</v>
      </c>
      <c r="E33" s="53">
        <v>2022</v>
      </c>
      <c r="F33" s="53">
        <v>12</v>
      </c>
    </row>
    <row r="34" spans="1:6" ht="14.25" x14ac:dyDescent="0.2">
      <c r="A34" s="11"/>
      <c r="B34" s="66">
        <v>44926</v>
      </c>
      <c r="C34" s="11">
        <f>APOIO!$B$2</f>
        <v>3262</v>
      </c>
      <c r="D34" s="18">
        <f ca="1">IFERROR(__xludf.dummyfunction("SUM(
IFERROR(QUERY('Sintética 20212022'!A:I, CONCATENATE(""SELECT I WHERE A="", ""'"",$A34,""'"")),0),
IFERROR(QUERY('Sintética 20212022'!A:I, CONCATENATE(""SELECT H WHERE G="", ""'"",$A34,""'"")),0),
)"),1307530.52056)</f>
        <v>1307530.5205600001</v>
      </c>
      <c r="E34" s="53">
        <v>2022</v>
      </c>
      <c r="F34" s="53">
        <v>12</v>
      </c>
    </row>
    <row r="35" spans="1:6" ht="14.25" x14ac:dyDescent="0.2">
      <c r="A35" s="11"/>
      <c r="B35" s="66">
        <v>44926</v>
      </c>
      <c r="C35" s="11">
        <f>APOIO!$B$2</f>
        <v>3262</v>
      </c>
      <c r="D35" s="18">
        <f ca="1">IFERROR(__xludf.dummyfunction("SUM(
IFERROR(QUERY('Sintética 20212022'!A:I, CONCATENATE(""SELECT I WHERE A="", ""'"",$A35,""'"")),0),
IFERROR(QUERY('Sintética 20212022'!A:I, CONCATENATE(""SELECT H WHERE G="", ""'"",$A35,""'"")),0),
)"),1307530.52056)</f>
        <v>1307530.5205600001</v>
      </c>
      <c r="E35" s="53">
        <v>2022</v>
      </c>
      <c r="F35" s="53">
        <v>12</v>
      </c>
    </row>
    <row r="36" spans="1:6" ht="14.25" x14ac:dyDescent="0.2">
      <c r="A36" s="11"/>
      <c r="B36" s="66">
        <v>44926</v>
      </c>
      <c r="C36" s="11">
        <f>APOIO!$B$2</f>
        <v>3262</v>
      </c>
      <c r="D36" s="18">
        <f ca="1">IFERROR(__xludf.dummyfunction("SUM(
IFERROR(QUERY('Sintética 20212022'!A:I, CONCATENATE(""SELECT I WHERE A="", ""'"",$A36,""'"")),0),
IFERROR(QUERY('Sintética 20212022'!A:I, CONCATENATE(""SELECT H WHERE G="", ""'"",$A36,""'"")),0),
)"),1307530.52056)</f>
        <v>1307530.5205600001</v>
      </c>
      <c r="E36" s="53">
        <v>2022</v>
      </c>
      <c r="F36" s="53">
        <v>12</v>
      </c>
    </row>
    <row r="37" spans="1:6" ht="14.25" x14ac:dyDescent="0.2">
      <c r="A37" s="11"/>
      <c r="B37" s="66">
        <v>44926</v>
      </c>
      <c r="C37" s="11">
        <f>APOIO!$B$2</f>
        <v>3262</v>
      </c>
      <c r="D37" s="18">
        <f ca="1">IFERROR(__xludf.dummyfunction("SUM(
IFERROR(QUERY('Sintética 20212022'!A:I, CONCATENATE(""SELECT I WHERE A="", ""'"",$A37,""'"")),0),
IFERROR(QUERY('Sintética 20212022'!A:I, CONCATENATE(""SELECT H WHERE G="", ""'"",$A37,""'"")),0),
)"),1307530.52056)</f>
        <v>1307530.5205600001</v>
      </c>
      <c r="E37" s="53">
        <v>2022</v>
      </c>
      <c r="F37" s="53">
        <v>12</v>
      </c>
    </row>
    <row r="38" spans="1:6" ht="14.25" x14ac:dyDescent="0.2">
      <c r="A38" s="11"/>
      <c r="B38" s="66">
        <v>44926</v>
      </c>
      <c r="C38" s="11">
        <f>APOIO!$B$2</f>
        <v>3262</v>
      </c>
      <c r="D38" s="18">
        <f ca="1">IFERROR(__xludf.dummyfunction("SUM(
IFERROR(QUERY('Sintética 20212022'!A:I, CONCATENATE(""SELECT I WHERE A="", ""'"",$A38,""'"")),0),
IFERROR(QUERY('Sintética 20212022'!A:I, CONCATENATE(""SELECT H WHERE G="", ""'"",$A38,""'"")),0),
)"),1307530.52056)</f>
        <v>1307530.5205600001</v>
      </c>
      <c r="E38" s="53">
        <v>2022</v>
      </c>
      <c r="F38" s="53">
        <v>12</v>
      </c>
    </row>
    <row r="39" spans="1:6" ht="14.25" x14ac:dyDescent="0.2">
      <c r="A39" s="11"/>
      <c r="B39" s="66">
        <v>44926</v>
      </c>
      <c r="C39" s="11">
        <f>APOIO!$B$2</f>
        <v>3262</v>
      </c>
      <c r="D39" s="18">
        <f ca="1">IFERROR(__xludf.dummyfunction("SUM(
IFERROR(QUERY('Sintética 20212022'!A:I, CONCATENATE(""SELECT I WHERE A="", ""'"",$A39,""'"")),0),
IFERROR(QUERY('Sintética 20212022'!A:I, CONCATENATE(""SELECT H WHERE G="", ""'"",$A39,""'"")),0),
)"),1307530.52056)</f>
        <v>1307530.5205600001</v>
      </c>
      <c r="E39" s="53">
        <v>2022</v>
      </c>
      <c r="F39" s="53">
        <v>12</v>
      </c>
    </row>
    <row r="40" spans="1:6" ht="14.25" x14ac:dyDescent="0.2">
      <c r="A40" s="11"/>
      <c r="B40" s="66">
        <v>44926</v>
      </c>
      <c r="C40" s="11">
        <f>APOIO!$B$2</f>
        <v>3262</v>
      </c>
      <c r="D40" s="18">
        <f ca="1">IFERROR(__xludf.dummyfunction("SUM(
IFERROR(QUERY('Sintética 20212022'!A:I, CONCATENATE(""SELECT I WHERE A="", ""'"",$A40,""'"")),0),
IFERROR(QUERY('Sintética 20212022'!A:I, CONCATENATE(""SELECT H WHERE G="", ""'"",$A40,""'"")),0),
)"),1307530.52056)</f>
        <v>1307530.5205600001</v>
      </c>
      <c r="E40" s="53">
        <v>2022</v>
      </c>
      <c r="F40" s="53">
        <v>12</v>
      </c>
    </row>
    <row r="41" spans="1:6" ht="14.25" x14ac:dyDescent="0.2">
      <c r="A41" s="11"/>
      <c r="B41" s="66">
        <v>44926</v>
      </c>
      <c r="C41" s="11">
        <f>APOIO!$B$2</f>
        <v>3262</v>
      </c>
      <c r="D41" s="18">
        <f ca="1">IFERROR(__xludf.dummyfunction("SUM(
IFERROR(QUERY('Sintética 20212022'!A:I, CONCATENATE(""SELECT I WHERE A="", ""'"",$A41,""'"")),0),
IFERROR(QUERY('Sintética 20212022'!A:I, CONCATENATE(""SELECT H WHERE G="", ""'"",$A41,""'"")),0),
)"),1307530.52056)</f>
        <v>1307530.5205600001</v>
      </c>
      <c r="E41" s="53">
        <v>2022</v>
      </c>
      <c r="F41" s="53">
        <v>12</v>
      </c>
    </row>
    <row r="42" spans="1:6" ht="14.25" x14ac:dyDescent="0.2">
      <c r="A42" s="11"/>
      <c r="B42" s="66">
        <v>44926</v>
      </c>
      <c r="C42" s="11">
        <f>APOIO!$B$2</f>
        <v>3262</v>
      </c>
      <c r="D42" s="18">
        <f ca="1">IFERROR(__xludf.dummyfunction("SUM(
IFERROR(QUERY('Sintética 20212022'!A:I, CONCATENATE(""SELECT I WHERE A="", ""'"",$A42,""'"")),0),
IFERROR(QUERY('Sintética 20212022'!A:I, CONCATENATE(""SELECT H WHERE G="", ""'"",$A42,""'"")),0),
)"),1307530.52056)</f>
        <v>1307530.5205600001</v>
      </c>
      <c r="E42" s="53">
        <v>2022</v>
      </c>
      <c r="F42" s="53">
        <v>12</v>
      </c>
    </row>
    <row r="43" spans="1:6" ht="14.25" x14ac:dyDescent="0.2">
      <c r="A43" s="11"/>
      <c r="B43" s="66">
        <v>44926</v>
      </c>
      <c r="C43" s="11">
        <f>APOIO!$B$2</f>
        <v>3262</v>
      </c>
      <c r="D43" s="18">
        <f ca="1">IFERROR(__xludf.dummyfunction("SUM(
IFERROR(QUERY('Sintética 20212022'!A:I, CONCATENATE(""SELECT I WHERE A="", ""'"",$A43,""'"")),0),
IFERROR(QUERY('Sintética 20212022'!A:I, CONCATENATE(""SELECT H WHERE G="", ""'"",$A43,""'"")),0),
)"),1307530.52056)</f>
        <v>1307530.5205600001</v>
      </c>
      <c r="E43" s="53">
        <v>2022</v>
      </c>
      <c r="F43" s="53">
        <v>12</v>
      </c>
    </row>
    <row r="44" spans="1:6" ht="14.25" x14ac:dyDescent="0.2">
      <c r="A44" s="11"/>
      <c r="B44" s="66">
        <v>44926</v>
      </c>
      <c r="C44" s="11">
        <f>APOIO!$B$2</f>
        <v>3262</v>
      </c>
      <c r="D44" s="18">
        <f ca="1">IFERROR(__xludf.dummyfunction("SUM(
IFERROR(QUERY('Sintética 20212022'!A:I, CONCATENATE(""SELECT I WHERE A="", ""'"",$A44,""'"")),0),
IFERROR(QUERY('Sintética 20212022'!A:I, CONCATENATE(""SELECT H WHERE G="", ""'"",$A44,""'"")),0),
)"),1307530.52056)</f>
        <v>1307530.5205600001</v>
      </c>
      <c r="E44" s="53">
        <v>2022</v>
      </c>
      <c r="F44" s="53">
        <v>12</v>
      </c>
    </row>
    <row r="45" spans="1:6" ht="14.25" x14ac:dyDescent="0.2">
      <c r="A45" s="11"/>
      <c r="B45" s="66">
        <v>44926</v>
      </c>
      <c r="C45" s="11">
        <f>APOIO!$B$2</f>
        <v>3262</v>
      </c>
      <c r="D45" s="18">
        <f ca="1">IFERROR(__xludf.dummyfunction("SUM(
IFERROR(QUERY('Sintética 20212022'!A:I, CONCATENATE(""SELECT I WHERE A="", ""'"",$A45,""'"")),0),
IFERROR(QUERY('Sintética 20212022'!A:I, CONCATENATE(""SELECT H WHERE G="", ""'"",$A45,""'"")),0),
)"),1307530.52056)</f>
        <v>1307530.5205600001</v>
      </c>
      <c r="E45" s="53">
        <v>2022</v>
      </c>
      <c r="F45" s="53">
        <v>12</v>
      </c>
    </row>
    <row r="46" spans="1:6" ht="14.25" x14ac:dyDescent="0.2">
      <c r="A46" s="11"/>
      <c r="B46" s="66">
        <v>44926</v>
      </c>
      <c r="C46" s="11">
        <f>APOIO!$B$2</f>
        <v>3262</v>
      </c>
      <c r="D46" s="18">
        <f ca="1">IFERROR(__xludf.dummyfunction("SUM(
IFERROR(QUERY('Sintética 20212022'!A:I, CONCATENATE(""SELECT I WHERE A="", ""'"",$A46,""'"")),0),
IFERROR(QUERY('Sintética 20212022'!A:I, CONCATENATE(""SELECT H WHERE G="", ""'"",$A46,""'"")),0),
)"),1307530.52056)</f>
        <v>1307530.5205600001</v>
      </c>
      <c r="E46" s="53">
        <v>2022</v>
      </c>
      <c r="F46" s="53">
        <v>12</v>
      </c>
    </row>
    <row r="47" spans="1:6" ht="14.25" x14ac:dyDescent="0.2">
      <c r="A47" s="11"/>
      <c r="B47" s="66">
        <v>44926</v>
      </c>
      <c r="C47" s="11">
        <f>APOIO!$B$2</f>
        <v>3262</v>
      </c>
      <c r="D47" s="18">
        <f ca="1">IFERROR(__xludf.dummyfunction("SUM(
IFERROR(QUERY('Sintética 20212022'!A:I, CONCATENATE(""SELECT I WHERE A="", ""'"",$A47,""'"")),0),
IFERROR(QUERY('Sintética 20212022'!A:I, CONCATENATE(""SELECT H WHERE G="", ""'"",$A47,""'"")),0),
)"),1307530.52056)</f>
        <v>1307530.5205600001</v>
      </c>
      <c r="E47" s="53">
        <v>2022</v>
      </c>
      <c r="F47" s="53">
        <v>12</v>
      </c>
    </row>
    <row r="48" spans="1:6" ht="14.25" x14ac:dyDescent="0.2">
      <c r="A48" s="11"/>
      <c r="B48" s="66">
        <v>44926</v>
      </c>
      <c r="C48" s="11">
        <f>APOIO!$B$2</f>
        <v>3262</v>
      </c>
      <c r="D48" s="18">
        <f ca="1">IFERROR(__xludf.dummyfunction("SUM(
IFERROR(QUERY('Sintética 20212022'!A:I, CONCATENATE(""SELECT I WHERE A="", ""'"",$A48,""'"")),0),
IFERROR(QUERY('Sintética 20212022'!A:I, CONCATENATE(""SELECT H WHERE G="", ""'"",$A48,""'"")),0),
)"),1307530.52056)</f>
        <v>1307530.5205600001</v>
      </c>
      <c r="E48" s="53">
        <v>2022</v>
      </c>
      <c r="F48" s="53">
        <v>12</v>
      </c>
    </row>
    <row r="49" spans="1:6" ht="14.25" x14ac:dyDescent="0.2">
      <c r="A49" s="11"/>
      <c r="B49" s="66">
        <v>44926</v>
      </c>
      <c r="C49" s="11">
        <f>APOIO!$B$2</f>
        <v>3262</v>
      </c>
      <c r="D49" s="18">
        <f ca="1">IFERROR(__xludf.dummyfunction("SUM(
IFERROR(QUERY('Sintética 20212022'!A:I, CONCATENATE(""SELECT I WHERE A="", ""'"",$A49,""'"")),0),
IFERROR(QUERY('Sintética 20212022'!A:I, CONCATENATE(""SELECT H WHERE G="", ""'"",$A49,""'"")),0),
)"),1307530.52056)</f>
        <v>1307530.5205600001</v>
      </c>
      <c r="E49" s="53">
        <v>2022</v>
      </c>
      <c r="F49" s="53">
        <v>12</v>
      </c>
    </row>
    <row r="50" spans="1:6" ht="14.25" x14ac:dyDescent="0.2">
      <c r="A50" s="11"/>
      <c r="B50" s="66">
        <v>44926</v>
      </c>
      <c r="C50" s="11">
        <f>APOIO!$B$2</f>
        <v>3262</v>
      </c>
      <c r="D50" s="18">
        <f ca="1">IFERROR(__xludf.dummyfunction("SUM(
IFERROR(QUERY('Sintética 20212022'!A:I, CONCATENATE(""SELECT I WHERE A="", ""'"",$A50,""'"")),0),
IFERROR(QUERY('Sintética 20212022'!A:I, CONCATENATE(""SELECT H WHERE G="", ""'"",$A50,""'"")),0),
)"),1307530.52056)</f>
        <v>1307530.5205600001</v>
      </c>
      <c r="E50" s="53">
        <v>2022</v>
      </c>
      <c r="F50" s="53">
        <v>12</v>
      </c>
    </row>
    <row r="51" spans="1:6" ht="14.25" x14ac:dyDescent="0.2">
      <c r="A51" s="11"/>
      <c r="B51" s="66">
        <v>44926</v>
      </c>
      <c r="C51" s="11">
        <f>APOIO!$B$2</f>
        <v>3262</v>
      </c>
      <c r="D51" s="18">
        <f ca="1">IFERROR(__xludf.dummyfunction("SUM(
IFERROR(QUERY('Sintética 20212022'!A:I, CONCATENATE(""SELECT I WHERE A="", ""'"",$A51,""'"")),0),
IFERROR(QUERY('Sintética 20212022'!A:I, CONCATENATE(""SELECT H WHERE G="", ""'"",$A51,""'"")),0),
)"),1307530.52056)</f>
        <v>1307530.5205600001</v>
      </c>
      <c r="E51" s="53">
        <v>2022</v>
      </c>
      <c r="F51" s="53">
        <v>12</v>
      </c>
    </row>
    <row r="52" spans="1:6" ht="14.25" x14ac:dyDescent="0.2">
      <c r="A52" s="11"/>
      <c r="B52" s="66">
        <v>44926</v>
      </c>
      <c r="C52" s="11">
        <f>APOIO!$B$2</f>
        <v>3262</v>
      </c>
      <c r="D52" s="18">
        <f ca="1">IFERROR(__xludf.dummyfunction("SUM(
IFERROR(QUERY('Sintética 20212022'!A:I, CONCATENATE(""SELECT I WHERE A="", ""'"",$A52,""'"")),0),
IFERROR(QUERY('Sintética 20212022'!A:I, CONCATENATE(""SELECT H WHERE G="", ""'"",$A52,""'"")),0),
)"),1307530.52056)</f>
        <v>1307530.5205600001</v>
      </c>
      <c r="E52" s="53">
        <v>2022</v>
      </c>
      <c r="F52" s="53">
        <v>12</v>
      </c>
    </row>
    <row r="53" spans="1:6" ht="14.25" x14ac:dyDescent="0.2">
      <c r="A53" s="11"/>
      <c r="B53" s="66">
        <v>44926</v>
      </c>
      <c r="C53" s="11">
        <f>APOIO!$B$2</f>
        <v>3262</v>
      </c>
      <c r="D53" s="18">
        <f ca="1">IFERROR(__xludf.dummyfunction("SUM(
IFERROR(QUERY('Sintética 20212022'!A:I, CONCATENATE(""SELECT I WHERE A="", ""'"",$A53,""'"")),0),
IFERROR(QUERY('Sintética 20212022'!A:I, CONCATENATE(""SELECT H WHERE G="", ""'"",$A53,""'"")),0),
)"),1307530.52056)</f>
        <v>1307530.5205600001</v>
      </c>
      <c r="E53" s="53">
        <v>2022</v>
      </c>
      <c r="F53" s="53">
        <v>12</v>
      </c>
    </row>
    <row r="54" spans="1:6" ht="14.25" x14ac:dyDescent="0.2">
      <c r="A54" s="11"/>
      <c r="B54" s="66">
        <v>44926</v>
      </c>
      <c r="C54" s="11">
        <f>APOIO!$B$2</f>
        <v>3262</v>
      </c>
      <c r="D54" s="18">
        <f ca="1">IFERROR(__xludf.dummyfunction("SUM(
IFERROR(QUERY('Sintética 20212022'!A:I, CONCATENATE(""SELECT I WHERE A="", ""'"",$A54,""'"")),0),
IFERROR(QUERY('Sintética 20212022'!A:I, CONCATENATE(""SELECT H WHERE G="", ""'"",$A54,""'"")),0),
)"),1307530.52056)</f>
        <v>1307530.5205600001</v>
      </c>
      <c r="E54" s="53">
        <v>2022</v>
      </c>
      <c r="F54" s="53">
        <v>12</v>
      </c>
    </row>
    <row r="55" spans="1:6" ht="14.25" x14ac:dyDescent="0.2">
      <c r="A55" s="11"/>
      <c r="B55" s="66">
        <v>44926</v>
      </c>
      <c r="C55" s="11">
        <f>APOIO!$B$2</f>
        <v>3262</v>
      </c>
      <c r="D55" s="18">
        <f ca="1">IFERROR(__xludf.dummyfunction("SUM(
IFERROR(QUERY('Sintética 20212022'!A:I, CONCATENATE(""SELECT I WHERE A="", ""'"",$A55,""'"")),0),
IFERROR(QUERY('Sintética 20212022'!A:I, CONCATENATE(""SELECT H WHERE G="", ""'"",$A55,""'"")),0),
)"),1307530.52056)</f>
        <v>1307530.5205600001</v>
      </c>
      <c r="E55" s="53">
        <v>2022</v>
      </c>
      <c r="F55" s="53">
        <v>12</v>
      </c>
    </row>
    <row r="56" spans="1:6" ht="14.25" x14ac:dyDescent="0.2">
      <c r="A56" s="11"/>
      <c r="B56" s="66">
        <v>44926</v>
      </c>
      <c r="C56" s="11">
        <f>APOIO!$B$2</f>
        <v>3262</v>
      </c>
      <c r="D56" s="18">
        <f ca="1">IFERROR(__xludf.dummyfunction("SUM(
IFERROR(QUERY('Sintética 20212022'!A:I, CONCATENATE(""SELECT I WHERE A="", ""'"",$A56,""'"")),0),
IFERROR(QUERY('Sintética 20212022'!A:I, CONCATENATE(""SELECT H WHERE G="", ""'"",$A56,""'"")),0),
)"),1307530.52056)</f>
        <v>1307530.5205600001</v>
      </c>
      <c r="E56" s="53">
        <v>2022</v>
      </c>
      <c r="F56" s="53">
        <v>12</v>
      </c>
    </row>
    <row r="57" spans="1:6" ht="14.25" x14ac:dyDescent="0.2">
      <c r="A57" s="11"/>
      <c r="B57" s="66">
        <v>44926</v>
      </c>
      <c r="C57" s="11">
        <f>APOIO!$B$2</f>
        <v>3262</v>
      </c>
      <c r="D57" s="18">
        <f ca="1">IFERROR(__xludf.dummyfunction("SUM(
IFERROR(QUERY('Sintética 20212022'!A:I, CONCATENATE(""SELECT I WHERE A="", ""'"",$A57,""'"")),0),
IFERROR(QUERY('Sintética 20212022'!A:I, CONCATENATE(""SELECT H WHERE G="", ""'"",$A57,""'"")),0),
)"),1307530.52056)</f>
        <v>1307530.5205600001</v>
      </c>
      <c r="E57" s="53">
        <v>2022</v>
      </c>
      <c r="F57" s="53">
        <v>12</v>
      </c>
    </row>
    <row r="58" spans="1:6" ht="14.25" x14ac:dyDescent="0.2">
      <c r="A58" s="11"/>
      <c r="B58" s="66">
        <v>44926</v>
      </c>
      <c r="C58" s="11">
        <f>APOIO!$B$2</f>
        <v>3262</v>
      </c>
      <c r="D58" s="18">
        <f ca="1">IFERROR(__xludf.dummyfunction("SUM(
IFERROR(QUERY('Sintética 20212022'!A:I, CONCATENATE(""SELECT I WHERE A="", ""'"",$A58,""'"")),0),
IFERROR(QUERY('Sintética 20212022'!A:I, CONCATENATE(""SELECT H WHERE G="", ""'"",$A58,""'"")),0),
)"),1307530.52056)</f>
        <v>1307530.5205600001</v>
      </c>
      <c r="E58" s="53">
        <v>2022</v>
      </c>
      <c r="F58" s="53">
        <v>12</v>
      </c>
    </row>
    <row r="59" spans="1:6" ht="14.25" x14ac:dyDescent="0.2">
      <c r="A59" s="11"/>
      <c r="B59" s="66">
        <v>44926</v>
      </c>
      <c r="C59" s="11">
        <f>APOIO!$B$2</f>
        <v>3262</v>
      </c>
      <c r="D59" s="18">
        <f ca="1">IFERROR(__xludf.dummyfunction("SUM(
IFERROR(QUERY('Sintética 20212022'!A:I, CONCATENATE(""SELECT I WHERE A="", ""'"",$A59,""'"")),0),
IFERROR(QUERY('Sintética 20212022'!A:I, CONCATENATE(""SELECT H WHERE G="", ""'"",$A59,""'"")),0),
)"),1307530.52056)</f>
        <v>1307530.5205600001</v>
      </c>
      <c r="E59" s="53">
        <v>2022</v>
      </c>
      <c r="F59" s="53">
        <v>12</v>
      </c>
    </row>
    <row r="60" spans="1:6" ht="14.25" x14ac:dyDescent="0.2">
      <c r="A60" s="11"/>
      <c r="B60" s="66">
        <v>44926</v>
      </c>
      <c r="C60" s="11">
        <f>APOIO!$B$2</f>
        <v>3262</v>
      </c>
      <c r="D60" s="18">
        <f ca="1">IFERROR(__xludf.dummyfunction("SUM(
IFERROR(QUERY('Sintética 20212022'!A:I, CONCATENATE(""SELECT I WHERE A="", ""'"",$A60,""'"")),0),
IFERROR(QUERY('Sintética 20212022'!A:I, CONCATENATE(""SELECT H WHERE G="", ""'"",$A60,""'"")),0),
)"),1307530.52056)</f>
        <v>1307530.5205600001</v>
      </c>
      <c r="E60" s="53">
        <v>2022</v>
      </c>
      <c r="F60" s="53">
        <v>12</v>
      </c>
    </row>
    <row r="61" spans="1:6" ht="14.25" x14ac:dyDescent="0.2">
      <c r="A61" s="11"/>
      <c r="B61" s="66">
        <v>44926</v>
      </c>
      <c r="C61" s="11">
        <f>APOIO!$B$2</f>
        <v>3262</v>
      </c>
      <c r="D61" s="18">
        <f ca="1">IFERROR(__xludf.dummyfunction("SUM(
IFERROR(QUERY('Sintética 20212022'!A:I, CONCATENATE(""SELECT I WHERE A="", ""'"",$A61,""'"")),0),
IFERROR(QUERY('Sintética 20212022'!A:I, CONCATENATE(""SELECT H WHERE G="", ""'"",$A61,""'"")),0),
)"),1307530.52056)</f>
        <v>1307530.5205600001</v>
      </c>
      <c r="E61" s="53">
        <v>2022</v>
      </c>
      <c r="F61" s="53">
        <v>12</v>
      </c>
    </row>
    <row r="62" spans="1:6" ht="14.25" x14ac:dyDescent="0.2">
      <c r="A62" s="11"/>
      <c r="B62" s="66">
        <v>44926</v>
      </c>
      <c r="C62" s="11">
        <f>APOIO!$B$2</f>
        <v>3262</v>
      </c>
      <c r="D62" s="18">
        <f ca="1">IFERROR(__xludf.dummyfunction("SUM(
IFERROR(QUERY('Sintética 20212022'!A:I, CONCATENATE(""SELECT I WHERE A="", ""'"",$A62,""'"")),0),
IFERROR(QUERY('Sintética 20212022'!A:I, CONCATENATE(""SELECT H WHERE G="", ""'"",$A62,""'"")),0),
)"),1307530.52056)</f>
        <v>1307530.5205600001</v>
      </c>
      <c r="E62" s="53">
        <v>2022</v>
      </c>
      <c r="F62" s="53">
        <v>12</v>
      </c>
    </row>
    <row r="63" spans="1:6" ht="14.25" x14ac:dyDescent="0.2">
      <c r="A63" s="11"/>
      <c r="B63" s="66">
        <v>44926</v>
      </c>
      <c r="C63" s="11">
        <f>APOIO!$B$2</f>
        <v>3262</v>
      </c>
      <c r="D63" s="18">
        <f ca="1">IFERROR(__xludf.dummyfunction("SUM(
IFERROR(QUERY('Sintética 20212022'!A:I, CONCATENATE(""SELECT I WHERE A="", ""'"",$A63,""'"")),0),
IFERROR(QUERY('Sintética 20212022'!A:I, CONCATENATE(""SELECT H WHERE G="", ""'"",$A63,""'"")),0),
)"),1307530.52056)</f>
        <v>1307530.5205600001</v>
      </c>
      <c r="E63" s="53">
        <v>2022</v>
      </c>
      <c r="F63" s="53">
        <v>12</v>
      </c>
    </row>
    <row r="64" spans="1:6" ht="14.25" x14ac:dyDescent="0.2">
      <c r="A64" s="11"/>
      <c r="B64" s="66">
        <v>44926</v>
      </c>
      <c r="C64" s="11">
        <f>APOIO!$B$2</f>
        <v>3262</v>
      </c>
      <c r="D64" s="18">
        <f ca="1">IFERROR(__xludf.dummyfunction("SUM(
IFERROR(QUERY('Sintética 20212022'!A:I, CONCATENATE(""SELECT I WHERE A="", ""'"",$A64,""'"")),0),
IFERROR(QUERY('Sintética 20212022'!A:I, CONCATENATE(""SELECT H WHERE G="", ""'"",$A64,""'"")),0),
)"),1307530.52056)</f>
        <v>1307530.5205600001</v>
      </c>
      <c r="E64" s="53">
        <v>2022</v>
      </c>
      <c r="F64" s="53">
        <v>12</v>
      </c>
    </row>
    <row r="65" spans="1:6" ht="14.25" x14ac:dyDescent="0.2">
      <c r="A65" s="11"/>
      <c r="B65" s="66">
        <v>44926</v>
      </c>
      <c r="C65" s="11">
        <f>APOIO!$B$2</f>
        <v>3262</v>
      </c>
      <c r="D65" s="18">
        <f ca="1">IFERROR(__xludf.dummyfunction("SUM(
IFERROR(QUERY('Sintética 20212022'!A:I, CONCATENATE(""SELECT I WHERE A="", ""'"",$A65,""'"")),0),
IFERROR(QUERY('Sintética 20212022'!A:I, CONCATENATE(""SELECT H WHERE G="", ""'"",$A65,""'"")),0),
)"),1307530.52056)</f>
        <v>1307530.5205600001</v>
      </c>
      <c r="E65" s="53">
        <v>2022</v>
      </c>
      <c r="F65" s="53">
        <v>12</v>
      </c>
    </row>
    <row r="66" spans="1:6" ht="14.25" x14ac:dyDescent="0.2">
      <c r="A66" s="11"/>
      <c r="B66" s="66">
        <v>44926</v>
      </c>
      <c r="C66" s="11">
        <f>APOIO!$B$2</f>
        <v>3262</v>
      </c>
      <c r="D66" s="18">
        <f ca="1">IFERROR(__xludf.dummyfunction("SUM(
IFERROR(QUERY('Sintética 20212022'!A:I, CONCATENATE(""SELECT I WHERE A="", ""'"",$A66,""'"")),0),
IFERROR(QUERY('Sintética 20212022'!A:I, CONCATENATE(""SELECT H WHERE G="", ""'"",$A66,""'"")),0),
)"),1307530.52056)</f>
        <v>1307530.5205600001</v>
      </c>
      <c r="E66" s="53">
        <v>2022</v>
      </c>
      <c r="F66" s="53">
        <v>12</v>
      </c>
    </row>
    <row r="67" spans="1:6" ht="14.25" x14ac:dyDescent="0.2">
      <c r="A67" s="11"/>
      <c r="B67" s="66">
        <v>44926</v>
      </c>
      <c r="C67" s="11">
        <f>APOIO!$B$2</f>
        <v>3262</v>
      </c>
      <c r="D67" s="18">
        <f ca="1">IFERROR(__xludf.dummyfunction("SUM(
IFERROR(QUERY('Sintética 20212022'!A:I, CONCATENATE(""SELECT I WHERE A="", ""'"",$A67,""'"")),0),
IFERROR(QUERY('Sintética 20212022'!A:I, CONCATENATE(""SELECT H WHERE G="", ""'"",$A67,""'"")),0),
)"),1307530.52056)</f>
        <v>1307530.5205600001</v>
      </c>
      <c r="E67" s="53">
        <v>2022</v>
      </c>
      <c r="F67" s="53">
        <v>12</v>
      </c>
    </row>
    <row r="68" spans="1:6" ht="14.25" x14ac:dyDescent="0.2">
      <c r="A68" s="11"/>
      <c r="B68" s="66">
        <v>44926</v>
      </c>
      <c r="C68" s="11">
        <f>APOIO!$B$2</f>
        <v>3262</v>
      </c>
      <c r="D68" s="18">
        <f ca="1">IFERROR(__xludf.dummyfunction("SUM(
IFERROR(QUERY('Sintética 20212022'!A:I, CONCATENATE(""SELECT I WHERE A="", ""'"",$A68,""'"")),0),
IFERROR(QUERY('Sintética 20212022'!A:I, CONCATENATE(""SELECT H WHERE G="", ""'"",$A68,""'"")),0),
)"),1307530.52056)</f>
        <v>1307530.5205600001</v>
      </c>
      <c r="E68" s="53">
        <v>2022</v>
      </c>
      <c r="F68" s="53">
        <v>12</v>
      </c>
    </row>
    <row r="69" spans="1:6" ht="14.25" x14ac:dyDescent="0.2">
      <c r="A69" s="11"/>
      <c r="B69" s="66">
        <v>44926</v>
      </c>
      <c r="C69" s="11">
        <f>APOIO!$B$2</f>
        <v>3262</v>
      </c>
      <c r="D69" s="18">
        <f ca="1">IFERROR(__xludf.dummyfunction("SUM(
IFERROR(QUERY('Sintética 20212022'!A:I, CONCATENATE(""SELECT I WHERE A="", ""'"",$A69,""'"")),0),
IFERROR(QUERY('Sintética 20212022'!A:I, CONCATENATE(""SELECT H WHERE G="", ""'"",$A69,""'"")),0),
)"),1307530.52056)</f>
        <v>1307530.5205600001</v>
      </c>
      <c r="E69" s="53">
        <v>2022</v>
      </c>
      <c r="F69" s="53">
        <v>12</v>
      </c>
    </row>
    <row r="70" spans="1:6" ht="14.25" x14ac:dyDescent="0.2">
      <c r="A70" s="11"/>
      <c r="B70" s="66">
        <v>44926</v>
      </c>
      <c r="C70" s="11">
        <f>APOIO!$B$2</f>
        <v>3262</v>
      </c>
      <c r="D70" s="18">
        <f ca="1">IFERROR(__xludf.dummyfunction("SUM(
IFERROR(QUERY('Sintética 20212022'!A:I, CONCATENATE(""SELECT I WHERE A="", ""'"",$A70,""'"")),0),
IFERROR(QUERY('Sintética 20212022'!A:I, CONCATENATE(""SELECT H WHERE G="", ""'"",$A70,""'"")),0),
)"),1307530.52056)</f>
        <v>1307530.5205600001</v>
      </c>
      <c r="E70" s="53">
        <v>2022</v>
      </c>
      <c r="F70" s="53">
        <v>12</v>
      </c>
    </row>
    <row r="71" spans="1:6" ht="14.25" x14ac:dyDescent="0.2">
      <c r="A71" s="11"/>
      <c r="B71" s="66">
        <v>44926</v>
      </c>
      <c r="C71" s="11">
        <f>APOIO!$B$2</f>
        <v>3262</v>
      </c>
      <c r="D71" s="18">
        <f ca="1">IFERROR(__xludf.dummyfunction("SUM(
IFERROR(QUERY('Sintética 20212022'!A:I, CONCATENATE(""SELECT I WHERE A="", ""'"",$A71,""'"")),0),
IFERROR(QUERY('Sintética 20212022'!A:I, CONCATENATE(""SELECT H WHERE G="", ""'"",$A71,""'"")),0),
)"),1307530.52056)</f>
        <v>1307530.5205600001</v>
      </c>
      <c r="E71" s="53">
        <v>2022</v>
      </c>
      <c r="F71" s="53">
        <v>12</v>
      </c>
    </row>
    <row r="72" spans="1:6" ht="14.25" x14ac:dyDescent="0.2">
      <c r="A72" s="11"/>
      <c r="B72" s="66">
        <v>44926</v>
      </c>
      <c r="C72" s="11">
        <f>APOIO!$B$2</f>
        <v>3262</v>
      </c>
      <c r="D72" s="18">
        <f ca="1">IFERROR(__xludf.dummyfunction("SUM(
IFERROR(QUERY('Sintética 20212022'!A:I, CONCATENATE(""SELECT I WHERE A="", ""'"",$A72,""'"")),0),
IFERROR(QUERY('Sintética 20212022'!A:I, CONCATENATE(""SELECT H WHERE G="", ""'"",$A72,""'"")),0),
)"),1307530.52056)</f>
        <v>1307530.5205600001</v>
      </c>
      <c r="E72" s="53">
        <v>2022</v>
      </c>
      <c r="F72" s="53">
        <v>12</v>
      </c>
    </row>
    <row r="73" spans="1:6" ht="14.25" x14ac:dyDescent="0.2">
      <c r="A73" s="11"/>
      <c r="B73" s="66">
        <v>44926</v>
      </c>
      <c r="C73" s="11">
        <f>APOIO!$B$2</f>
        <v>3262</v>
      </c>
      <c r="D73" s="18">
        <f ca="1">IFERROR(__xludf.dummyfunction("SUM(
IFERROR(QUERY('Sintética 20212022'!A:I, CONCATENATE(""SELECT I WHERE A="", ""'"",$A73,""'"")),0),
IFERROR(QUERY('Sintética 20212022'!A:I, CONCATENATE(""SELECT H WHERE G="", ""'"",$A73,""'"")),0),
)"),1307530.52056)</f>
        <v>1307530.5205600001</v>
      </c>
      <c r="E73" s="53">
        <v>2022</v>
      </c>
      <c r="F73" s="53">
        <v>12</v>
      </c>
    </row>
    <row r="74" spans="1:6" ht="14.25" x14ac:dyDescent="0.2">
      <c r="A74" s="11"/>
      <c r="B74" s="66">
        <v>44926</v>
      </c>
      <c r="C74" s="11">
        <f>APOIO!$B$2</f>
        <v>3262</v>
      </c>
      <c r="D74" s="18">
        <f ca="1">IFERROR(__xludf.dummyfunction("SUM(
IFERROR(QUERY('Sintética 20212022'!A:I, CONCATENATE(""SELECT I WHERE A="", ""'"",$A74,""'"")),0),
IFERROR(QUERY('Sintética 20212022'!A:I, CONCATENATE(""SELECT H WHERE G="", ""'"",$A74,""'"")),0),
)"),1307530.52056)</f>
        <v>1307530.5205600001</v>
      </c>
      <c r="E74" s="53">
        <v>2022</v>
      </c>
      <c r="F74" s="53">
        <v>12</v>
      </c>
    </row>
    <row r="75" spans="1:6" ht="14.25" x14ac:dyDescent="0.2">
      <c r="A75" s="11"/>
      <c r="B75" s="66">
        <v>44926</v>
      </c>
      <c r="C75" s="11">
        <f>APOIO!$B$2</f>
        <v>3262</v>
      </c>
      <c r="D75" s="18">
        <f ca="1">IFERROR(__xludf.dummyfunction("SUM(
IFERROR(QUERY('Sintética 20212022'!A:I, CONCATENATE(""SELECT I WHERE A="", ""'"",$A75,""'"")),0),
IFERROR(QUERY('Sintética 20212022'!A:I, CONCATENATE(""SELECT H WHERE G="", ""'"",$A75,""'"")),0),
)"),1307530.52056)</f>
        <v>1307530.5205600001</v>
      </c>
      <c r="E75" s="53">
        <v>2022</v>
      </c>
      <c r="F75" s="53">
        <v>12</v>
      </c>
    </row>
    <row r="76" spans="1:6" ht="14.25" x14ac:dyDescent="0.2">
      <c r="A76" s="11"/>
      <c r="B76" s="66">
        <v>44926</v>
      </c>
      <c r="C76" s="11">
        <f>APOIO!$B$2</f>
        <v>3262</v>
      </c>
      <c r="D76" s="18">
        <f ca="1">IFERROR(__xludf.dummyfunction("SUM(
IFERROR(QUERY('Sintética 20212022'!A:I, CONCATENATE(""SELECT I WHERE A="", ""'"",$A76,""'"")),0),
IFERROR(QUERY('Sintética 20212022'!A:I, CONCATENATE(""SELECT H WHERE G="", ""'"",$A76,""'"")),0),
)"),1307530.52056)</f>
        <v>1307530.5205600001</v>
      </c>
      <c r="E76" s="53">
        <v>2022</v>
      </c>
      <c r="F76" s="53">
        <v>12</v>
      </c>
    </row>
    <row r="77" spans="1:6" ht="14.25" x14ac:dyDescent="0.2">
      <c r="A77" s="11"/>
      <c r="B77" s="66">
        <v>44926</v>
      </c>
      <c r="C77" s="11">
        <f>APOIO!$B$2</f>
        <v>3262</v>
      </c>
      <c r="D77" s="18">
        <f ca="1">IFERROR(__xludf.dummyfunction("SUM(
IFERROR(QUERY('Sintética 20212022'!A:I, CONCATENATE(""SELECT I WHERE A="", ""'"",$A77,""'"")),0),
IFERROR(QUERY('Sintética 20212022'!A:I, CONCATENATE(""SELECT H WHERE G="", ""'"",$A77,""'"")),0),
)"),1307530.52056)</f>
        <v>1307530.5205600001</v>
      </c>
      <c r="E77" s="53">
        <v>2022</v>
      </c>
      <c r="F77" s="53">
        <v>12</v>
      </c>
    </row>
    <row r="78" spans="1:6" ht="14.25" x14ac:dyDescent="0.2">
      <c r="A78" s="11"/>
      <c r="B78" s="66">
        <v>44926</v>
      </c>
      <c r="C78" s="11">
        <f>APOIO!$B$2</f>
        <v>3262</v>
      </c>
      <c r="D78" s="18">
        <f ca="1">IFERROR(__xludf.dummyfunction("SUM(
IFERROR(QUERY('Sintética 20212022'!A:I, CONCATENATE(""SELECT I WHERE A="", ""'"",$A78,""'"")),0),
IFERROR(QUERY('Sintética 20212022'!A:I, CONCATENATE(""SELECT H WHERE G="", ""'"",$A78,""'"")),0),
)"),1307530.52056)</f>
        <v>1307530.5205600001</v>
      </c>
      <c r="E78" s="53">
        <v>2022</v>
      </c>
      <c r="F78" s="53">
        <v>12</v>
      </c>
    </row>
    <row r="79" spans="1:6" ht="14.25" x14ac:dyDescent="0.2">
      <c r="A79" s="11"/>
      <c r="B79" s="66">
        <v>44926</v>
      </c>
      <c r="C79" s="11">
        <f>APOIO!$B$2</f>
        <v>3262</v>
      </c>
      <c r="D79" s="18">
        <f ca="1">IFERROR(__xludf.dummyfunction("SUM(
IFERROR(QUERY('Sintética 20212022'!A:I, CONCATENATE(""SELECT I WHERE A="", ""'"",$A79,""'"")),0),
IFERROR(QUERY('Sintética 20212022'!A:I, CONCATENATE(""SELECT H WHERE G="", ""'"",$A79,""'"")),0),
)"),1307530.52056)</f>
        <v>1307530.5205600001</v>
      </c>
      <c r="E79" s="53">
        <v>2022</v>
      </c>
      <c r="F79" s="53">
        <v>12</v>
      </c>
    </row>
    <row r="80" spans="1:6" ht="14.25" x14ac:dyDescent="0.2">
      <c r="A80" s="11"/>
      <c r="B80" s="66">
        <v>44926</v>
      </c>
      <c r="C80" s="11">
        <f>APOIO!$B$2</f>
        <v>3262</v>
      </c>
      <c r="D80" s="18">
        <f ca="1">IFERROR(__xludf.dummyfunction("SUM(
IFERROR(QUERY('Sintética 20212022'!A:I, CONCATENATE(""SELECT I WHERE A="", ""'"",$A80,""'"")),0),
IFERROR(QUERY('Sintética 20212022'!A:I, CONCATENATE(""SELECT H WHERE G="", ""'"",$A80,""'"")),0),
)"),1307530.52056)</f>
        <v>1307530.5205600001</v>
      </c>
      <c r="E80" s="53">
        <v>2022</v>
      </c>
      <c r="F80" s="53">
        <v>12</v>
      </c>
    </row>
    <row r="81" spans="1:6" ht="14.25" x14ac:dyDescent="0.2">
      <c r="A81" s="11"/>
      <c r="B81" s="66">
        <v>44926</v>
      </c>
      <c r="C81" s="11">
        <f>APOIO!$B$2</f>
        <v>3262</v>
      </c>
      <c r="D81" s="18">
        <f ca="1">IFERROR(__xludf.dummyfunction("SUM(
IFERROR(QUERY('Sintética 20212022'!A:I, CONCATENATE(""SELECT I WHERE A="", ""'"",$A81,""'"")),0),
IFERROR(QUERY('Sintética 20212022'!A:I, CONCATENATE(""SELECT H WHERE G="", ""'"",$A81,""'"")),0),
)"),1307530.52056)</f>
        <v>1307530.5205600001</v>
      </c>
      <c r="E81" s="53">
        <v>2022</v>
      </c>
      <c r="F81" s="53">
        <v>12</v>
      </c>
    </row>
    <row r="82" spans="1:6" ht="14.25" x14ac:dyDescent="0.2">
      <c r="A82" s="11"/>
      <c r="B82" s="66">
        <v>44926</v>
      </c>
      <c r="C82" s="11">
        <f>APOIO!$B$2</f>
        <v>3262</v>
      </c>
      <c r="D82" s="18">
        <f ca="1">IFERROR(__xludf.dummyfunction("SUM(
IFERROR(QUERY('Sintética 20212022'!A:I, CONCATENATE(""SELECT I WHERE A="", ""'"",$A82,""'"")),0),
IFERROR(QUERY('Sintética 20212022'!A:I, CONCATENATE(""SELECT H WHERE G="", ""'"",$A82,""'"")),0),
)"),1307530.52056)</f>
        <v>1307530.5205600001</v>
      </c>
      <c r="E82" s="53">
        <v>2022</v>
      </c>
      <c r="F82" s="53">
        <v>12</v>
      </c>
    </row>
    <row r="83" spans="1:6" ht="14.25" x14ac:dyDescent="0.2">
      <c r="A83" s="11"/>
      <c r="B83" s="66">
        <v>44926</v>
      </c>
      <c r="C83" s="11">
        <f>APOIO!$B$2</f>
        <v>3262</v>
      </c>
      <c r="D83" s="18">
        <f ca="1">IFERROR(__xludf.dummyfunction("SUM(
IFERROR(QUERY('Sintética 20212022'!A:I, CONCATENATE(""SELECT I WHERE A="", ""'"",$A83,""'"")),0),
IFERROR(QUERY('Sintética 20212022'!A:I, CONCATENATE(""SELECT H WHERE G="", ""'"",$A83,""'"")),0),
)"),1307530.52056)</f>
        <v>1307530.5205600001</v>
      </c>
      <c r="E83" s="53">
        <v>2022</v>
      </c>
      <c r="F83" s="53">
        <v>12</v>
      </c>
    </row>
    <row r="84" spans="1:6" ht="14.25" x14ac:dyDescent="0.2">
      <c r="A84" s="11"/>
      <c r="B84" s="66">
        <v>44926</v>
      </c>
      <c r="C84" s="11">
        <f>APOIO!$B$2</f>
        <v>3262</v>
      </c>
      <c r="D84" s="18">
        <f ca="1">IFERROR(__xludf.dummyfunction("SUM(
IFERROR(QUERY('Sintética 20212022'!A:I, CONCATENATE(""SELECT I WHERE A="", ""'"",$A84,""'"")),0),
IFERROR(QUERY('Sintética 20212022'!A:I, CONCATENATE(""SELECT H WHERE G="", ""'"",$A84,""'"")),0),
)"),1307530.52056)</f>
        <v>1307530.5205600001</v>
      </c>
      <c r="E84" s="53">
        <v>2022</v>
      </c>
      <c r="F84" s="53">
        <v>12</v>
      </c>
    </row>
    <row r="85" spans="1:6" ht="14.25" x14ac:dyDescent="0.2">
      <c r="A85" s="11"/>
      <c r="B85" s="66">
        <v>44926</v>
      </c>
      <c r="C85" s="11">
        <f>APOIO!$B$2</f>
        <v>3262</v>
      </c>
      <c r="D85" s="18">
        <f ca="1">IFERROR(__xludf.dummyfunction("SUM(
IFERROR(QUERY('Sintética 20212022'!A:I, CONCATENATE(""SELECT I WHERE A="", ""'"",$A85,""'"")),0),
IFERROR(QUERY('Sintética 20212022'!A:I, CONCATENATE(""SELECT H WHERE G="", ""'"",$A85,""'"")),0),
)"),1307530.52056)</f>
        <v>1307530.5205600001</v>
      </c>
      <c r="E85" s="53">
        <v>2022</v>
      </c>
      <c r="F85" s="53">
        <v>12</v>
      </c>
    </row>
    <row r="86" spans="1:6" ht="14.25" x14ac:dyDescent="0.2">
      <c r="A86" s="11"/>
      <c r="B86" s="66">
        <v>44926</v>
      </c>
      <c r="C86" s="11">
        <f>APOIO!$B$2</f>
        <v>3262</v>
      </c>
      <c r="D86" s="18">
        <f ca="1">IFERROR(__xludf.dummyfunction("SUM(
IFERROR(QUERY('Sintética 20212022'!A:I, CONCATENATE(""SELECT I WHERE A="", ""'"",$A86,""'"")),0),
IFERROR(QUERY('Sintética 20212022'!A:I, CONCATENATE(""SELECT H WHERE G="", ""'"",$A86,""'"")),0),
)"),1307530.52056)</f>
        <v>1307530.5205600001</v>
      </c>
      <c r="E86" s="53">
        <v>2022</v>
      </c>
      <c r="F86" s="53">
        <v>12</v>
      </c>
    </row>
    <row r="87" spans="1:6" ht="14.25" x14ac:dyDescent="0.2">
      <c r="A87" s="11"/>
      <c r="B87" s="66">
        <v>44926</v>
      </c>
      <c r="C87" s="11">
        <f>APOIO!$B$2</f>
        <v>3262</v>
      </c>
      <c r="D87" s="18">
        <f ca="1">IFERROR(__xludf.dummyfunction("SUM(
IFERROR(QUERY('Sintética 20212022'!A:I, CONCATENATE(""SELECT I WHERE A="", ""'"",$A87,""'"")),0),
IFERROR(QUERY('Sintética 20212022'!A:I, CONCATENATE(""SELECT H WHERE G="", ""'"",$A87,""'"")),0),
)"),1307530.52056)</f>
        <v>1307530.5205600001</v>
      </c>
      <c r="E87" s="53">
        <v>2022</v>
      </c>
      <c r="F87" s="53">
        <v>12</v>
      </c>
    </row>
    <row r="88" spans="1:6" ht="14.25" x14ac:dyDescent="0.2">
      <c r="A88" s="11"/>
      <c r="B88" s="66">
        <v>44926</v>
      </c>
      <c r="C88" s="11">
        <f>APOIO!$B$2</f>
        <v>3262</v>
      </c>
      <c r="D88" s="18">
        <f ca="1">IFERROR(__xludf.dummyfunction("SUM(
IFERROR(QUERY('Sintética 20212022'!A:I, CONCATENATE(""SELECT I WHERE A="", ""'"",$A88,""'"")),0),
IFERROR(QUERY('Sintética 20212022'!A:I, CONCATENATE(""SELECT H WHERE G="", ""'"",$A88,""'"")),0),
)"),1307530.52056)</f>
        <v>1307530.5205600001</v>
      </c>
      <c r="E88" s="53">
        <v>2022</v>
      </c>
      <c r="F88" s="53">
        <v>12</v>
      </c>
    </row>
    <row r="89" spans="1:6" ht="14.25" x14ac:dyDescent="0.2">
      <c r="A89" s="11"/>
      <c r="B89" s="66">
        <v>44926</v>
      </c>
      <c r="C89" s="11">
        <f>APOIO!$B$2</f>
        <v>3262</v>
      </c>
      <c r="D89" s="18">
        <f ca="1">IFERROR(__xludf.dummyfunction("SUM(
IFERROR(QUERY('Sintética 20212022'!A:I, CONCATENATE(""SELECT I WHERE A="", ""'"",$A89,""'"")),0),
IFERROR(QUERY('Sintética 20212022'!A:I, CONCATENATE(""SELECT H WHERE G="", ""'"",$A89,""'"")),0),
)"),1307530.52056)</f>
        <v>1307530.5205600001</v>
      </c>
      <c r="E89" s="53">
        <v>2022</v>
      </c>
      <c r="F89" s="53">
        <v>12</v>
      </c>
    </row>
    <row r="90" spans="1:6" ht="14.25" x14ac:dyDescent="0.2">
      <c r="A90" s="11"/>
      <c r="B90" s="66">
        <v>44926</v>
      </c>
      <c r="C90" s="11">
        <f>APOIO!$B$2</f>
        <v>3262</v>
      </c>
      <c r="D90" s="18">
        <f ca="1">IFERROR(__xludf.dummyfunction("SUM(
IFERROR(QUERY('Sintética 20212022'!A:I, CONCATENATE(""SELECT I WHERE A="", ""'"",$A90,""'"")),0),
IFERROR(QUERY('Sintética 20212022'!A:I, CONCATENATE(""SELECT H WHERE G="", ""'"",$A90,""'"")),0),
)"),1307530.52056)</f>
        <v>1307530.5205600001</v>
      </c>
      <c r="E90" s="53">
        <v>2022</v>
      </c>
      <c r="F90" s="53">
        <v>12</v>
      </c>
    </row>
    <row r="91" spans="1:6" ht="14.25" x14ac:dyDescent="0.2">
      <c r="A91" s="11"/>
      <c r="B91" s="66">
        <v>44926</v>
      </c>
      <c r="C91" s="11">
        <f>APOIO!$B$2</f>
        <v>3262</v>
      </c>
      <c r="D91" s="18">
        <f ca="1">IFERROR(__xludf.dummyfunction("SUM(
IFERROR(QUERY('Sintética 20212022'!A:I, CONCATENATE(""SELECT I WHERE A="", ""'"",$A91,""'"")),0),
IFERROR(QUERY('Sintética 20212022'!A:I, CONCATENATE(""SELECT H WHERE G="", ""'"",$A91,""'"")),0),
)"),1307530.52056)</f>
        <v>1307530.5205600001</v>
      </c>
      <c r="E91" s="53">
        <v>2022</v>
      </c>
      <c r="F91" s="53">
        <v>12</v>
      </c>
    </row>
    <row r="92" spans="1:6" ht="14.25" x14ac:dyDescent="0.2">
      <c r="A92" s="11"/>
      <c r="B92" s="66">
        <v>44926</v>
      </c>
      <c r="C92" s="11">
        <f>APOIO!$B$2</f>
        <v>3262</v>
      </c>
      <c r="D92" s="18">
        <f ca="1">IFERROR(__xludf.dummyfunction("SUM(
IFERROR(QUERY('Sintética 20212022'!A:I, CONCATENATE(""SELECT I WHERE A="", ""'"",$A92,""'"")),0),
IFERROR(QUERY('Sintética 20212022'!A:I, CONCATENATE(""SELECT H WHERE G="", ""'"",$A92,""'"")),0),
)"),1307530.52056)</f>
        <v>1307530.5205600001</v>
      </c>
      <c r="E92" s="53">
        <v>2022</v>
      </c>
      <c r="F92" s="53">
        <v>12</v>
      </c>
    </row>
    <row r="93" spans="1:6" ht="14.25" x14ac:dyDescent="0.2">
      <c r="A93" s="11"/>
      <c r="B93" s="66">
        <v>44926</v>
      </c>
      <c r="C93" s="11">
        <f>APOIO!$B$2</f>
        <v>3262</v>
      </c>
      <c r="D93" s="18">
        <f ca="1">IFERROR(__xludf.dummyfunction("SUM(
IFERROR(QUERY('Sintética 20212022'!A:I, CONCATENATE(""SELECT I WHERE A="", ""'"",$A93,""'"")),0),
IFERROR(QUERY('Sintética 20212022'!A:I, CONCATENATE(""SELECT H WHERE G="", ""'"",$A93,""'"")),0),
)"),1307530.52056)</f>
        <v>1307530.5205600001</v>
      </c>
      <c r="E93" s="53">
        <v>2022</v>
      </c>
      <c r="F93" s="53">
        <v>12</v>
      </c>
    </row>
    <row r="94" spans="1:6" ht="14.25" x14ac:dyDescent="0.2">
      <c r="A94" s="11"/>
      <c r="B94" s="66">
        <v>44926</v>
      </c>
      <c r="C94" s="11">
        <f>APOIO!$B$2</f>
        <v>3262</v>
      </c>
      <c r="D94" s="18">
        <f ca="1">IFERROR(__xludf.dummyfunction("SUM(
IFERROR(QUERY('Sintética 20212022'!A:I, CONCATENATE(""SELECT I WHERE A="", ""'"",$A94,""'"")),0),
IFERROR(QUERY('Sintética 20212022'!A:I, CONCATENATE(""SELECT H WHERE G="", ""'"",$A94,""'"")),0),
)"),1307530.52056)</f>
        <v>1307530.5205600001</v>
      </c>
      <c r="E94" s="53">
        <v>2022</v>
      </c>
      <c r="F94" s="53">
        <v>12</v>
      </c>
    </row>
    <row r="95" spans="1:6" ht="14.25" x14ac:dyDescent="0.2">
      <c r="A95" s="11"/>
      <c r="B95" s="66">
        <v>44926</v>
      </c>
      <c r="C95" s="11">
        <f>APOIO!$B$2</f>
        <v>3262</v>
      </c>
      <c r="D95" s="18">
        <f ca="1">IFERROR(__xludf.dummyfunction("SUM(
IFERROR(QUERY('Sintética 20212022'!A:I, CONCATENATE(""SELECT I WHERE A="", ""'"",$A95,""'"")),0),
IFERROR(QUERY('Sintética 20212022'!A:I, CONCATENATE(""SELECT H WHERE G="", ""'"",$A95,""'"")),0),
)"),1307530.52056)</f>
        <v>1307530.5205600001</v>
      </c>
      <c r="E95" s="53">
        <v>2022</v>
      </c>
      <c r="F95" s="53">
        <v>12</v>
      </c>
    </row>
    <row r="96" spans="1:6" ht="14.25" x14ac:dyDescent="0.2">
      <c r="A96" s="11"/>
      <c r="B96" s="66">
        <v>44926</v>
      </c>
      <c r="C96" s="11">
        <f>APOIO!$B$2</f>
        <v>3262</v>
      </c>
      <c r="D96" s="18">
        <f ca="1">IFERROR(__xludf.dummyfunction("SUM(
IFERROR(QUERY('Sintética 20212022'!A:I, CONCATENATE(""SELECT I WHERE A="", ""'"",$A96,""'"")),0),
IFERROR(QUERY('Sintética 20212022'!A:I, CONCATENATE(""SELECT H WHERE G="", ""'"",$A96,""'"")),0),
)"),1307530.52056)</f>
        <v>1307530.5205600001</v>
      </c>
      <c r="E96" s="53">
        <v>2022</v>
      </c>
      <c r="F96" s="53">
        <v>12</v>
      </c>
    </row>
    <row r="97" spans="1:6" ht="14.25" x14ac:dyDescent="0.2">
      <c r="A97" s="11"/>
      <c r="B97" s="66">
        <v>44926</v>
      </c>
      <c r="C97" s="11">
        <f>APOIO!$B$2</f>
        <v>3262</v>
      </c>
      <c r="D97" s="18">
        <f ca="1">IFERROR(__xludf.dummyfunction("SUM(
IFERROR(QUERY('Sintética 20212022'!A:I, CONCATENATE(""SELECT I WHERE A="", ""'"",$A97,""'"")),0),
IFERROR(QUERY('Sintética 20212022'!A:I, CONCATENATE(""SELECT H WHERE G="", ""'"",$A97,""'"")),0),
)"),1307530.52056)</f>
        <v>1307530.5205600001</v>
      </c>
      <c r="E97" s="53">
        <v>2022</v>
      </c>
      <c r="F97" s="53">
        <v>12</v>
      </c>
    </row>
    <row r="98" spans="1:6" ht="14.25" x14ac:dyDescent="0.2">
      <c r="A98" s="11"/>
      <c r="B98" s="66">
        <v>44926</v>
      </c>
      <c r="C98" s="11">
        <f>APOIO!$B$2</f>
        <v>3262</v>
      </c>
      <c r="D98" s="18">
        <f ca="1">IFERROR(__xludf.dummyfunction("SUM(
IFERROR(QUERY('Sintética 20212022'!A:I, CONCATENATE(""SELECT I WHERE A="", ""'"",$A98,""'"")),0),
IFERROR(QUERY('Sintética 20212022'!A:I, CONCATENATE(""SELECT H WHERE G="", ""'"",$A98,""'"")),0),
)"),1307530.52056)</f>
        <v>1307530.5205600001</v>
      </c>
      <c r="E98" s="53">
        <v>2022</v>
      </c>
      <c r="F98" s="53">
        <v>12</v>
      </c>
    </row>
    <row r="99" spans="1:6" ht="14.25" x14ac:dyDescent="0.2">
      <c r="A99" s="11"/>
      <c r="B99" s="66">
        <v>44926</v>
      </c>
      <c r="C99" s="11">
        <f>APOIO!$B$2</f>
        <v>3262</v>
      </c>
      <c r="D99" s="18">
        <f ca="1">IFERROR(__xludf.dummyfunction("SUM(
IFERROR(QUERY('Sintética 20212022'!A:I, CONCATENATE(""SELECT I WHERE A="", ""'"",$A99,""'"")),0),
IFERROR(QUERY('Sintética 20212022'!A:I, CONCATENATE(""SELECT H WHERE G="", ""'"",$A99,""'"")),0),
)"),1307530.52056)</f>
        <v>1307530.5205600001</v>
      </c>
      <c r="E99" s="53">
        <v>2022</v>
      </c>
      <c r="F99" s="53">
        <v>12</v>
      </c>
    </row>
    <row r="100" spans="1:6" ht="14.25" x14ac:dyDescent="0.2">
      <c r="A100" s="11"/>
      <c r="B100" s="66">
        <v>44926</v>
      </c>
      <c r="C100" s="11">
        <f>APOIO!$B$2</f>
        <v>3262</v>
      </c>
      <c r="D100" s="18">
        <f ca="1">IFERROR(__xludf.dummyfunction("SUM(
IFERROR(QUERY('Sintética 20212022'!A:I, CONCATENATE(""SELECT I WHERE A="", ""'"",$A100,""'"")),0),
IFERROR(QUERY('Sintética 20212022'!A:I, CONCATENATE(""SELECT H WHERE G="", ""'"",$A100,""'"")),0),
)"),1307530.52056)</f>
        <v>1307530.5205600001</v>
      </c>
      <c r="E100" s="53">
        <v>2022</v>
      </c>
      <c r="F100" s="53">
        <v>12</v>
      </c>
    </row>
    <row r="101" spans="1:6" ht="14.25" x14ac:dyDescent="0.2">
      <c r="A101" s="11"/>
      <c r="B101" s="66">
        <v>44926</v>
      </c>
      <c r="C101" s="11">
        <f>APOIO!$B$2</f>
        <v>3262</v>
      </c>
      <c r="D101" s="18">
        <f ca="1">IFERROR(__xludf.dummyfunction("SUM(
IFERROR(QUERY('Sintética 20212022'!A:I, CONCATENATE(""SELECT I WHERE A="", ""'"",$A101,""'"")),0),
IFERROR(QUERY('Sintética 20212022'!A:I, CONCATENATE(""SELECT H WHERE G="", ""'"",$A101,""'"")),0),
)"),1307530.52056)</f>
        <v>1307530.5205600001</v>
      </c>
      <c r="E101" s="53">
        <v>2022</v>
      </c>
      <c r="F101" s="53">
        <v>12</v>
      </c>
    </row>
    <row r="102" spans="1:6" ht="14.25" x14ac:dyDescent="0.2">
      <c r="A102" s="11"/>
      <c r="B102" s="66">
        <v>44926</v>
      </c>
      <c r="C102" s="11">
        <f>APOIO!$B$2</f>
        <v>3262</v>
      </c>
      <c r="D102" s="18">
        <f ca="1">IFERROR(__xludf.dummyfunction("SUM(
IFERROR(QUERY('Sintética 20212022'!A:I, CONCATENATE(""SELECT I WHERE A="", ""'"",$A102,""'"")),0),
IFERROR(QUERY('Sintética 20212022'!A:I, CONCATENATE(""SELECT H WHERE G="", ""'"",$A102,""'"")),0),
)"),1307530.52056)</f>
        <v>1307530.5205600001</v>
      </c>
      <c r="E102" s="53">
        <v>2022</v>
      </c>
      <c r="F102" s="53">
        <v>12</v>
      </c>
    </row>
    <row r="103" spans="1:6" ht="14.25" x14ac:dyDescent="0.2">
      <c r="A103" s="11"/>
      <c r="B103" s="66">
        <v>44926</v>
      </c>
      <c r="C103" s="11">
        <f>APOIO!$B$2</f>
        <v>3262</v>
      </c>
      <c r="D103" s="18">
        <f ca="1">IFERROR(__xludf.dummyfunction("SUM(
IFERROR(QUERY('Sintética 20212022'!A:I, CONCATENATE(""SELECT I WHERE A="", ""'"",$A103,""'"")),0),
IFERROR(QUERY('Sintética 20212022'!A:I, CONCATENATE(""SELECT H WHERE G="", ""'"",$A103,""'"")),0),
)"),1307530.52056)</f>
        <v>1307530.5205600001</v>
      </c>
      <c r="E103" s="53">
        <v>2022</v>
      </c>
      <c r="F103" s="53">
        <v>12</v>
      </c>
    </row>
    <row r="104" spans="1:6" ht="14.25" x14ac:dyDescent="0.2">
      <c r="A104" s="11"/>
      <c r="B104" s="66">
        <v>44926</v>
      </c>
      <c r="C104" s="11">
        <f>APOIO!$B$2</f>
        <v>3262</v>
      </c>
      <c r="D104" s="18">
        <f ca="1">IFERROR(__xludf.dummyfunction("SUM(
IFERROR(QUERY('Sintética 20212022'!A:I, CONCATENATE(""SELECT I WHERE A="", ""'"",$A104,""'"")),0),
IFERROR(QUERY('Sintética 20212022'!A:I, CONCATENATE(""SELECT H WHERE G="", ""'"",$A104,""'"")),0),
)"),1307530.52056)</f>
        <v>1307530.5205600001</v>
      </c>
      <c r="E104" s="53">
        <v>2022</v>
      </c>
      <c r="F104" s="53">
        <v>12</v>
      </c>
    </row>
    <row r="105" spans="1:6" ht="14.25" x14ac:dyDescent="0.2">
      <c r="A105" s="11"/>
      <c r="B105" s="66">
        <v>44926</v>
      </c>
      <c r="C105" s="11">
        <f>APOIO!$B$2</f>
        <v>3262</v>
      </c>
      <c r="D105" s="18">
        <f ca="1">IFERROR(__xludf.dummyfunction("SUM(
IFERROR(QUERY('Sintética 20212022'!A:I, CONCATENATE(""SELECT I WHERE A="", ""'"",$A105,""'"")),0),
IFERROR(QUERY('Sintética 20212022'!A:I, CONCATENATE(""SELECT H WHERE G="", ""'"",$A105,""'"")),0),
)"),1307530.52056)</f>
        <v>1307530.5205600001</v>
      </c>
      <c r="E105" s="53">
        <v>2022</v>
      </c>
      <c r="F105" s="53">
        <v>12</v>
      </c>
    </row>
    <row r="106" spans="1:6" ht="14.25" x14ac:dyDescent="0.2">
      <c r="A106" s="11"/>
      <c r="B106" s="66">
        <v>44926</v>
      </c>
      <c r="C106" s="11">
        <f>APOIO!$B$2</f>
        <v>3262</v>
      </c>
      <c r="D106" s="18">
        <f ca="1">IFERROR(__xludf.dummyfunction("SUM(
IFERROR(QUERY('Sintética 20212022'!A:I, CONCATENATE(""SELECT I WHERE A="", ""'"",$A106,""'"")),0),
IFERROR(QUERY('Sintética 20212022'!A:I, CONCATENATE(""SELECT H WHERE G="", ""'"",$A106,""'"")),0),
)"),1307530.52056)</f>
        <v>1307530.5205600001</v>
      </c>
      <c r="E106" s="53">
        <v>2022</v>
      </c>
      <c r="F106" s="53">
        <v>12</v>
      </c>
    </row>
    <row r="107" spans="1:6" ht="14.25" x14ac:dyDescent="0.2">
      <c r="A107" s="11"/>
      <c r="B107" s="66">
        <v>44926</v>
      </c>
      <c r="C107" s="11">
        <f>APOIO!$B$2</f>
        <v>3262</v>
      </c>
      <c r="D107" s="18">
        <f ca="1">IFERROR(__xludf.dummyfunction("SUM(
IFERROR(QUERY('Sintética 20212022'!A:I, CONCATENATE(""SELECT I WHERE A="", ""'"",$A107,""'"")),0),
IFERROR(QUERY('Sintética 20212022'!A:I, CONCATENATE(""SELECT H WHERE G="", ""'"",$A107,""'"")),0),
)"),1307530.52056)</f>
        <v>1307530.5205600001</v>
      </c>
      <c r="E107" s="53">
        <v>2022</v>
      </c>
      <c r="F107" s="53">
        <v>12</v>
      </c>
    </row>
    <row r="108" spans="1:6" ht="14.25" x14ac:dyDescent="0.2">
      <c r="A108" s="11"/>
      <c r="B108" s="66">
        <v>44926</v>
      </c>
      <c r="C108" s="11">
        <f>APOIO!$B$2</f>
        <v>3262</v>
      </c>
      <c r="D108" s="18">
        <f ca="1">IFERROR(__xludf.dummyfunction("SUM(
IFERROR(QUERY('Sintética 20212022'!A:I, CONCATENATE(""SELECT I WHERE A="", ""'"",$A108,""'"")),0),
IFERROR(QUERY('Sintética 20212022'!A:I, CONCATENATE(""SELECT H WHERE G="", ""'"",$A108,""'"")),0),
)"),1307530.52056)</f>
        <v>1307530.5205600001</v>
      </c>
      <c r="E108" s="53">
        <v>2022</v>
      </c>
      <c r="F108" s="53">
        <v>12</v>
      </c>
    </row>
    <row r="109" spans="1:6" ht="14.25" x14ac:dyDescent="0.2">
      <c r="A109" s="11"/>
      <c r="B109" s="66">
        <v>44926</v>
      </c>
      <c r="C109" s="11">
        <f>APOIO!$B$2</f>
        <v>3262</v>
      </c>
      <c r="D109" s="18">
        <f ca="1">IFERROR(__xludf.dummyfunction("SUM(
IFERROR(QUERY('Sintética 20212022'!A:I, CONCATENATE(""SELECT I WHERE A="", ""'"",$A109,""'"")),0),
IFERROR(QUERY('Sintética 20212022'!A:I, CONCATENATE(""SELECT H WHERE G="", ""'"",$A109,""'"")),0),
)"),1307530.52056)</f>
        <v>1307530.5205600001</v>
      </c>
      <c r="E109" s="53">
        <v>2022</v>
      </c>
      <c r="F109" s="53">
        <v>12</v>
      </c>
    </row>
    <row r="110" spans="1:6" ht="14.25" x14ac:dyDescent="0.2">
      <c r="A110" s="11"/>
      <c r="B110" s="66">
        <v>44926</v>
      </c>
      <c r="C110" s="11">
        <f>APOIO!$B$2</f>
        <v>3262</v>
      </c>
      <c r="D110" s="18">
        <f ca="1">IFERROR(__xludf.dummyfunction("SUM(
IFERROR(QUERY('Sintética 20212022'!A:I, CONCATENATE(""SELECT I WHERE A="", ""'"",$A110,""'"")),0),
IFERROR(QUERY('Sintética 20212022'!A:I, CONCATENATE(""SELECT H WHERE G="", ""'"",$A110,""'"")),0),
)"),1307530.52056)</f>
        <v>1307530.5205600001</v>
      </c>
      <c r="E110" s="53">
        <v>2022</v>
      </c>
      <c r="F110" s="53">
        <v>12</v>
      </c>
    </row>
    <row r="111" spans="1:6" ht="14.25" x14ac:dyDescent="0.2">
      <c r="A111" s="11"/>
      <c r="B111" s="66">
        <v>44926</v>
      </c>
      <c r="C111" s="11">
        <f>APOIO!$B$2</f>
        <v>3262</v>
      </c>
      <c r="D111" s="18">
        <f ca="1">IFERROR(__xludf.dummyfunction("SUM(
IFERROR(QUERY('Sintética 20212022'!A:I, CONCATENATE(""SELECT I WHERE A="", ""'"",$A111,""'"")),0),
IFERROR(QUERY('Sintética 20212022'!A:I, CONCATENATE(""SELECT H WHERE G="", ""'"",$A111,""'"")),0),
)"),1307530.52056)</f>
        <v>1307530.5205600001</v>
      </c>
      <c r="E111" s="53">
        <v>2022</v>
      </c>
      <c r="F111" s="53">
        <v>12</v>
      </c>
    </row>
    <row r="112" spans="1:6" ht="14.25" x14ac:dyDescent="0.2">
      <c r="A112" s="11"/>
      <c r="B112" s="66">
        <v>44926</v>
      </c>
      <c r="C112" s="11">
        <f>APOIO!$B$2</f>
        <v>3262</v>
      </c>
      <c r="D112" s="18">
        <f ca="1">IFERROR(__xludf.dummyfunction("SUM(
IFERROR(QUERY('Sintética 20212022'!A:I, CONCATENATE(""SELECT I WHERE A="", ""'"",$A112,""'"")),0),
IFERROR(QUERY('Sintética 20212022'!A:I, CONCATENATE(""SELECT H WHERE G="", ""'"",$A112,""'"")),0),
)"),1307530.52056)</f>
        <v>1307530.5205600001</v>
      </c>
      <c r="E112" s="53">
        <v>2022</v>
      </c>
      <c r="F112" s="53">
        <v>12</v>
      </c>
    </row>
    <row r="113" spans="1:6" ht="14.25" x14ac:dyDescent="0.2">
      <c r="A113" s="11"/>
      <c r="B113" s="66">
        <v>44926</v>
      </c>
      <c r="C113" s="11">
        <f>APOIO!$B$2</f>
        <v>3262</v>
      </c>
      <c r="D113" s="18">
        <f ca="1">IFERROR(__xludf.dummyfunction("SUM(
IFERROR(QUERY('Sintética 20212022'!A:I, CONCATENATE(""SELECT I WHERE A="", ""'"",$A113,""'"")),0),
IFERROR(QUERY('Sintética 20212022'!A:I, CONCATENATE(""SELECT H WHERE G="", ""'"",$A113,""'"")),0),
)"),1307530.52056)</f>
        <v>1307530.5205600001</v>
      </c>
      <c r="E113" s="53">
        <v>2022</v>
      </c>
      <c r="F113" s="53">
        <v>12</v>
      </c>
    </row>
    <row r="114" spans="1:6" ht="14.25" x14ac:dyDescent="0.2">
      <c r="A114" s="11"/>
      <c r="B114" s="66">
        <v>44926</v>
      </c>
      <c r="C114" s="11">
        <f>APOIO!$B$2</f>
        <v>3262</v>
      </c>
      <c r="D114" s="18">
        <f ca="1">IFERROR(__xludf.dummyfunction("SUM(
IFERROR(QUERY('Sintética 20212022'!A:I, CONCATENATE(""SELECT I WHERE A="", ""'"",$A114,""'"")),0),
IFERROR(QUERY('Sintética 20212022'!A:I, CONCATENATE(""SELECT H WHERE G="", ""'"",$A114,""'"")),0),
)"),1307530.52056)</f>
        <v>1307530.5205600001</v>
      </c>
      <c r="E114" s="53">
        <v>2022</v>
      </c>
      <c r="F114" s="53">
        <v>12</v>
      </c>
    </row>
    <row r="115" spans="1:6" ht="14.25" x14ac:dyDescent="0.2">
      <c r="A115" s="11"/>
      <c r="B115" s="66">
        <v>44926</v>
      </c>
      <c r="C115" s="11">
        <f>APOIO!$B$2</f>
        <v>3262</v>
      </c>
      <c r="D115" s="18">
        <f ca="1">IFERROR(__xludf.dummyfunction("SUM(
IFERROR(QUERY('Sintética 20212022'!A:I, CONCATENATE(""SELECT I WHERE A="", ""'"",$A115,""'"")),0),
IFERROR(QUERY('Sintética 20212022'!A:I, CONCATENATE(""SELECT H WHERE G="", ""'"",$A115,""'"")),0),
)"),1307530.52056)</f>
        <v>1307530.5205600001</v>
      </c>
      <c r="E115" s="53">
        <v>2022</v>
      </c>
      <c r="F115" s="53">
        <v>12</v>
      </c>
    </row>
    <row r="116" spans="1:6" ht="14.25" x14ac:dyDescent="0.2">
      <c r="A116" s="11"/>
      <c r="B116" s="66">
        <v>44926</v>
      </c>
      <c r="C116" s="11">
        <f>APOIO!$B$2</f>
        <v>3262</v>
      </c>
      <c r="D116" s="18">
        <f ca="1">IFERROR(__xludf.dummyfunction("SUM(
IFERROR(QUERY('Sintética 20212022'!A:I, CONCATENATE(""SELECT I WHERE A="", ""'"",$A116,""'"")),0),
IFERROR(QUERY('Sintética 20212022'!A:I, CONCATENATE(""SELECT H WHERE G="", ""'"",$A116,""'"")),0),
)"),1307530.52056)</f>
        <v>1307530.5205600001</v>
      </c>
      <c r="E116" s="53">
        <v>2022</v>
      </c>
      <c r="F116" s="53">
        <v>12</v>
      </c>
    </row>
    <row r="117" spans="1:6" ht="14.25" x14ac:dyDescent="0.2">
      <c r="A117" s="11"/>
      <c r="B117" s="66">
        <v>44926</v>
      </c>
      <c r="C117" s="11">
        <f>APOIO!$B$2</f>
        <v>3262</v>
      </c>
      <c r="D117" s="18">
        <f ca="1">IFERROR(__xludf.dummyfunction("SUM(
IFERROR(QUERY('Sintética 20212022'!A:I, CONCATENATE(""SELECT I WHERE A="", ""'"",$A117,""'"")),0),
IFERROR(QUERY('Sintética 20212022'!A:I, CONCATENATE(""SELECT H WHERE G="", ""'"",$A117,""'"")),0),
)"),1307530.52056)</f>
        <v>1307530.5205600001</v>
      </c>
      <c r="E117" s="53">
        <v>2022</v>
      </c>
      <c r="F117" s="53">
        <v>12</v>
      </c>
    </row>
    <row r="118" spans="1:6" ht="14.25" x14ac:dyDescent="0.2">
      <c r="A118" s="11"/>
      <c r="B118" s="66">
        <v>44926</v>
      </c>
      <c r="C118" s="11">
        <f>APOIO!$B$2</f>
        <v>3262</v>
      </c>
      <c r="D118" s="18">
        <f ca="1">IFERROR(__xludf.dummyfunction("SUM(
IFERROR(QUERY('Sintética 20212022'!A:I, CONCATENATE(""SELECT I WHERE A="", ""'"",$A118,""'"")),0),
IFERROR(QUERY('Sintética 20212022'!A:I, CONCATENATE(""SELECT H WHERE G="", ""'"",$A118,""'"")),0),
)"),1307530.52056)</f>
        <v>1307530.5205600001</v>
      </c>
      <c r="E118" s="53">
        <v>2022</v>
      </c>
      <c r="F118" s="53">
        <v>12</v>
      </c>
    </row>
    <row r="119" spans="1:6" ht="14.25" x14ac:dyDescent="0.2">
      <c r="A119" s="11"/>
      <c r="B119" s="66">
        <v>44926</v>
      </c>
      <c r="C119" s="11">
        <f>APOIO!$B$2</f>
        <v>3262</v>
      </c>
      <c r="D119" s="18">
        <f ca="1">IFERROR(__xludf.dummyfunction("SUM(
IFERROR(QUERY('Sintética 20212022'!A:I, CONCATENATE(""SELECT I WHERE A="", ""'"",$A119,""'"")),0),
IFERROR(QUERY('Sintética 20212022'!A:I, CONCATENATE(""SELECT H WHERE G="", ""'"",$A119,""'"")),0),
)"),1307530.52056)</f>
        <v>1307530.5205600001</v>
      </c>
      <c r="E119" s="53">
        <v>2022</v>
      </c>
      <c r="F119" s="53">
        <v>12</v>
      </c>
    </row>
    <row r="120" spans="1:6" ht="14.25" x14ac:dyDescent="0.2">
      <c r="A120" s="11"/>
      <c r="B120" s="66">
        <v>44926</v>
      </c>
      <c r="C120" s="11">
        <f>APOIO!$B$2</f>
        <v>3262</v>
      </c>
      <c r="D120" s="18">
        <f ca="1">IFERROR(__xludf.dummyfunction("SUM(
IFERROR(QUERY('Sintética 20212022'!A:I, CONCATENATE(""SELECT I WHERE A="", ""'"",$A120,""'"")),0),
IFERROR(QUERY('Sintética 20212022'!A:I, CONCATENATE(""SELECT H WHERE G="", ""'"",$A120,""'"")),0),
)"),1307530.52056)</f>
        <v>1307530.5205600001</v>
      </c>
      <c r="E120" s="53">
        <v>2022</v>
      </c>
      <c r="F120" s="53">
        <v>12</v>
      </c>
    </row>
    <row r="121" spans="1:6" ht="14.25" x14ac:dyDescent="0.2">
      <c r="A121" s="11"/>
      <c r="B121" s="66">
        <v>44926</v>
      </c>
      <c r="C121" s="11">
        <f>APOIO!$B$2</f>
        <v>3262</v>
      </c>
      <c r="D121" s="18">
        <f ca="1">IFERROR(__xludf.dummyfunction("SUM(
IFERROR(QUERY('Sintética 20212022'!A:I, CONCATENATE(""SELECT I WHERE A="", ""'"",$A121,""'"")),0),
IFERROR(QUERY('Sintética 20212022'!A:I, CONCATENATE(""SELECT H WHERE G="", ""'"",$A121,""'"")),0),
)"),1307530.52056)</f>
        <v>1307530.5205600001</v>
      </c>
      <c r="E121" s="53">
        <v>2022</v>
      </c>
      <c r="F121" s="53">
        <v>12</v>
      </c>
    </row>
    <row r="122" spans="1:6" ht="14.25" x14ac:dyDescent="0.2">
      <c r="A122" s="11"/>
      <c r="B122" s="66">
        <v>44926</v>
      </c>
      <c r="C122" s="11">
        <f>APOIO!$B$2</f>
        <v>3262</v>
      </c>
      <c r="D122" s="18">
        <f ca="1">IFERROR(__xludf.dummyfunction("SUM(
IFERROR(QUERY('Sintética 20212022'!A:I, CONCATENATE(""SELECT I WHERE A="", ""'"",$A122,""'"")),0),
IFERROR(QUERY('Sintética 20212022'!A:I, CONCATENATE(""SELECT H WHERE G="", ""'"",$A122,""'"")),0),
)"),1307530.52056)</f>
        <v>1307530.5205600001</v>
      </c>
      <c r="E122" s="53">
        <v>2022</v>
      </c>
      <c r="F122" s="53">
        <v>12</v>
      </c>
    </row>
    <row r="123" spans="1:6" ht="14.25" x14ac:dyDescent="0.2">
      <c r="A123" s="11"/>
      <c r="B123" s="66">
        <v>44926</v>
      </c>
      <c r="C123" s="11">
        <f>APOIO!$B$2</f>
        <v>3262</v>
      </c>
      <c r="D123" s="18">
        <f ca="1">IFERROR(__xludf.dummyfunction("SUM(
IFERROR(QUERY('Sintética 20212022'!A:I, CONCATENATE(""SELECT I WHERE A="", ""'"",$A123,""'"")),0),
IFERROR(QUERY('Sintética 20212022'!A:I, CONCATENATE(""SELECT H WHERE G="", ""'"",$A123,""'"")),0),
)"),1307530.52056)</f>
        <v>1307530.5205600001</v>
      </c>
      <c r="E123" s="53">
        <v>2022</v>
      </c>
      <c r="F123" s="53">
        <v>12</v>
      </c>
    </row>
    <row r="124" spans="1:6" ht="14.25" x14ac:dyDescent="0.2">
      <c r="A124" s="11"/>
      <c r="B124" s="66">
        <v>44926</v>
      </c>
      <c r="C124" s="11">
        <f>APOIO!$B$2</f>
        <v>3262</v>
      </c>
      <c r="D124" s="18">
        <f ca="1">IFERROR(__xludf.dummyfunction("SUM(
IFERROR(QUERY('Sintética 20212022'!A:I, CONCATENATE(""SELECT I WHERE A="", ""'"",$A124,""'"")),0),
IFERROR(QUERY('Sintética 20212022'!A:I, CONCATENATE(""SELECT H WHERE G="", ""'"",$A124,""'"")),0),
)"),1307530.52056)</f>
        <v>1307530.5205600001</v>
      </c>
      <c r="E124" s="53">
        <v>2022</v>
      </c>
      <c r="F124" s="53">
        <v>12</v>
      </c>
    </row>
    <row r="125" spans="1:6" ht="14.25" x14ac:dyDescent="0.2">
      <c r="A125" s="11"/>
      <c r="B125" s="66">
        <v>44926</v>
      </c>
      <c r="C125" s="11">
        <f>APOIO!$B$2</f>
        <v>3262</v>
      </c>
      <c r="D125" s="18">
        <f ca="1">IFERROR(__xludf.dummyfunction("SUM(
IFERROR(QUERY('Sintética 20212022'!A:I, CONCATENATE(""SELECT I WHERE A="", ""'"",$A125,""'"")),0),
IFERROR(QUERY('Sintética 20212022'!A:I, CONCATENATE(""SELECT H WHERE G="", ""'"",$A125,""'"")),0),
)"),1307530.52056)</f>
        <v>1307530.5205600001</v>
      </c>
      <c r="E125" s="53">
        <v>2022</v>
      </c>
      <c r="F125" s="53">
        <v>12</v>
      </c>
    </row>
    <row r="126" spans="1:6" ht="14.25" x14ac:dyDescent="0.2">
      <c r="A126" s="11"/>
      <c r="B126" s="66">
        <v>44926</v>
      </c>
      <c r="C126" s="11">
        <f>APOIO!$B$2</f>
        <v>3262</v>
      </c>
      <c r="D126" s="18">
        <f ca="1">IFERROR(__xludf.dummyfunction("SUM(
IFERROR(QUERY('Sintética 20212022'!A:I, CONCATENATE(""SELECT I WHERE A="", ""'"",$A126,""'"")),0),
IFERROR(QUERY('Sintética 20212022'!A:I, CONCATENATE(""SELECT H WHERE G="", ""'"",$A126,""'"")),0),
)"),1307530.52056)</f>
        <v>1307530.5205600001</v>
      </c>
      <c r="E126" s="53">
        <v>2022</v>
      </c>
      <c r="F126" s="53">
        <v>12</v>
      </c>
    </row>
    <row r="127" spans="1:6" ht="14.25" x14ac:dyDescent="0.2">
      <c r="A127" s="11"/>
      <c r="B127" s="66">
        <v>44926</v>
      </c>
      <c r="C127" s="11">
        <f>APOIO!$B$2</f>
        <v>3262</v>
      </c>
      <c r="D127" s="18">
        <f ca="1">IFERROR(__xludf.dummyfunction("SUM(
IFERROR(QUERY('Sintética 20212022'!A:I, CONCATENATE(""SELECT I WHERE A="", ""'"",$A127,""'"")),0),
IFERROR(QUERY('Sintética 20212022'!A:I, CONCATENATE(""SELECT H WHERE G="", ""'"",$A127,""'"")),0),
)"),1307530.52056)</f>
        <v>1307530.5205600001</v>
      </c>
      <c r="E127" s="53">
        <v>2022</v>
      </c>
      <c r="F127" s="53">
        <v>12</v>
      </c>
    </row>
    <row r="128" spans="1:6" ht="14.25" x14ac:dyDescent="0.2">
      <c r="A128" s="11"/>
      <c r="B128" s="66">
        <v>44926</v>
      </c>
      <c r="C128" s="11">
        <f>APOIO!$B$2</f>
        <v>3262</v>
      </c>
      <c r="D128" s="18">
        <f ca="1">IFERROR(__xludf.dummyfunction("SUM(
IFERROR(QUERY('Sintética 20212022'!A:I, CONCATENATE(""SELECT I WHERE A="", ""'"",$A128,""'"")),0),
IFERROR(QUERY('Sintética 20212022'!A:I, CONCATENATE(""SELECT H WHERE G="", ""'"",$A128,""'"")),0),
)"),1307530.52056)</f>
        <v>1307530.5205600001</v>
      </c>
      <c r="E128" s="53">
        <v>2022</v>
      </c>
      <c r="F128" s="53">
        <v>12</v>
      </c>
    </row>
    <row r="129" spans="1:6" ht="14.25" x14ac:dyDescent="0.2">
      <c r="A129" s="67"/>
      <c r="B129" s="66">
        <v>44926</v>
      </c>
      <c r="C129" s="11">
        <f>APOIO!$B$2</f>
        <v>3262</v>
      </c>
      <c r="D129" s="18">
        <f ca="1">IFERROR(__xludf.dummyfunction("SUM(
IFERROR(QUERY('Sintética 20212022'!A:I, CONCATENATE(""SELECT I WHERE A="", ""'"",$A129,""'"")),0),
IFERROR(QUERY('Sintética 20212022'!A:I, CONCATENATE(""SELECT H WHERE G="", ""'"",$A129,""'"")),0),
)"),1307530.52056)</f>
        <v>1307530.5205600001</v>
      </c>
      <c r="E129" s="53">
        <v>2022</v>
      </c>
      <c r="F129" s="53">
        <v>12</v>
      </c>
    </row>
  </sheetData>
  <autoFilter ref="A1:F126" xr:uid="{00000000-0009-0000-0000-000009000000}"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00"/>
  </sheetPr>
  <dimension ref="A1:M254"/>
  <sheetViews>
    <sheetView zoomScale="140" zoomScaleNormal="140" workbookViewId="0"/>
  </sheetViews>
  <sheetFormatPr defaultColWidth="12.85546875" defaultRowHeight="12.75" x14ac:dyDescent="0.2"/>
  <cols>
    <col min="1" max="1" width="32.7109375" customWidth="1"/>
    <col min="2" max="2" width="17.140625" customWidth="1"/>
    <col min="4" max="4" width="19.42578125" customWidth="1"/>
    <col min="5" max="6" width="19.28515625" customWidth="1"/>
    <col min="12" max="12" width="15.85546875" customWidth="1"/>
    <col min="13" max="13" width="17.5703125" customWidth="1"/>
    <col min="14" max="14" width="20.28515625" customWidth="1"/>
  </cols>
  <sheetData>
    <row r="1" spans="1:12" ht="69" x14ac:dyDescent="0.4">
      <c r="A1" s="68" t="s">
        <v>298</v>
      </c>
      <c r="B1" s="69" t="s">
        <v>294</v>
      </c>
      <c r="C1" s="70" t="s">
        <v>299</v>
      </c>
      <c r="D1" s="70" t="s">
        <v>300</v>
      </c>
      <c r="E1" s="70" t="s">
        <v>301</v>
      </c>
      <c r="F1" s="70" t="s">
        <v>39</v>
      </c>
      <c r="G1" s="71" t="s">
        <v>302</v>
      </c>
      <c r="I1" s="71" t="s">
        <v>1</v>
      </c>
      <c r="J1" s="71" t="s">
        <v>43</v>
      </c>
      <c r="K1" s="71" t="s">
        <v>79</v>
      </c>
      <c r="L1" s="71" t="s">
        <v>18</v>
      </c>
    </row>
    <row r="2" spans="1:12" ht="45.75" x14ac:dyDescent="0.4">
      <c r="A2" s="72" t="s">
        <v>48</v>
      </c>
      <c r="B2" s="53">
        <v>3262</v>
      </c>
      <c r="C2" s="53" t="s">
        <v>56</v>
      </c>
      <c r="D2" s="73" t="s">
        <v>303</v>
      </c>
      <c r="E2" s="74" t="s">
        <v>304</v>
      </c>
      <c r="F2" s="74" t="s">
        <v>305</v>
      </c>
      <c r="G2" s="53" t="s">
        <v>56</v>
      </c>
      <c r="I2" s="75" t="s">
        <v>306</v>
      </c>
      <c r="J2" s="75" t="s">
        <v>43</v>
      </c>
      <c r="K2" s="11" t="s">
        <v>50</v>
      </c>
      <c r="L2" s="75" t="s">
        <v>51</v>
      </c>
    </row>
    <row r="3" spans="1:12" ht="39.75" customHeight="1" x14ac:dyDescent="0.2">
      <c r="B3" s="76"/>
      <c r="C3" s="53" t="s">
        <v>53</v>
      </c>
      <c r="D3" s="73" t="s">
        <v>89</v>
      </c>
      <c r="E3" s="74" t="s">
        <v>307</v>
      </c>
      <c r="F3" s="74" t="s">
        <v>308</v>
      </c>
      <c r="G3" s="53" t="s">
        <v>53</v>
      </c>
      <c r="I3" s="75" t="s">
        <v>309</v>
      </c>
      <c r="J3" s="75" t="s">
        <v>310</v>
      </c>
      <c r="K3" s="11" t="s">
        <v>252</v>
      </c>
      <c r="L3" s="75" t="s">
        <v>260</v>
      </c>
    </row>
    <row r="4" spans="1:12" ht="15.75" customHeight="1" x14ac:dyDescent="0.2">
      <c r="A4" s="96" t="s">
        <v>311</v>
      </c>
      <c r="D4" s="73" t="s">
        <v>312</v>
      </c>
      <c r="E4" s="74" t="s">
        <v>313</v>
      </c>
      <c r="F4" s="74" t="s">
        <v>314</v>
      </c>
      <c r="I4" s="75" t="s">
        <v>256</v>
      </c>
      <c r="J4" s="75" t="s">
        <v>315</v>
      </c>
      <c r="K4" s="67"/>
      <c r="L4" s="75" t="s">
        <v>316</v>
      </c>
    </row>
    <row r="5" spans="1:12" ht="28.5" x14ac:dyDescent="0.2">
      <c r="A5" s="96"/>
      <c r="D5" s="73" t="s">
        <v>261</v>
      </c>
      <c r="E5" s="74" t="s">
        <v>317</v>
      </c>
      <c r="F5" s="74" t="s">
        <v>318</v>
      </c>
      <c r="I5" s="75" t="s">
        <v>319</v>
      </c>
      <c r="J5" s="75" t="s">
        <v>320</v>
      </c>
      <c r="K5" s="67"/>
      <c r="L5" s="75" t="s">
        <v>97</v>
      </c>
    </row>
    <row r="6" spans="1:12" ht="30" x14ac:dyDescent="0.2">
      <c r="A6" s="77" t="s">
        <v>321</v>
      </c>
      <c r="B6" s="77">
        <v>1</v>
      </c>
      <c r="D6" s="73" t="s">
        <v>322</v>
      </c>
      <c r="E6" s="74" t="s">
        <v>323</v>
      </c>
      <c r="F6" s="74" t="s">
        <v>324</v>
      </c>
      <c r="I6" s="75" t="s">
        <v>325</v>
      </c>
      <c r="J6" s="75" t="s">
        <v>326</v>
      </c>
      <c r="K6" s="67"/>
      <c r="L6" s="75" t="s">
        <v>327</v>
      </c>
    </row>
    <row r="7" spans="1:12" ht="31.5" x14ac:dyDescent="0.4">
      <c r="A7" s="72" t="s">
        <v>328</v>
      </c>
      <c r="B7" s="77">
        <v>2</v>
      </c>
      <c r="D7" s="73" t="s">
        <v>329</v>
      </c>
      <c r="E7" s="74" t="s">
        <v>330</v>
      </c>
      <c r="F7" s="74" t="s">
        <v>331</v>
      </c>
      <c r="I7" s="75" t="s">
        <v>332</v>
      </c>
      <c r="J7" s="78"/>
      <c r="K7" s="67"/>
      <c r="L7" s="75" t="s">
        <v>333</v>
      </c>
    </row>
    <row r="8" spans="1:12" ht="30" x14ac:dyDescent="0.2">
      <c r="A8" s="79" t="s">
        <v>334</v>
      </c>
      <c r="B8" s="77">
        <v>3</v>
      </c>
      <c r="D8" s="73" t="s">
        <v>335</v>
      </c>
      <c r="E8" s="74" t="s">
        <v>336</v>
      </c>
      <c r="F8" s="74" t="s">
        <v>337</v>
      </c>
      <c r="I8" s="75" t="s">
        <v>338</v>
      </c>
      <c r="J8" s="78"/>
      <c r="K8" s="67"/>
      <c r="L8" s="67"/>
    </row>
    <row r="9" spans="1:12" ht="28.5" x14ac:dyDescent="0.2">
      <c r="A9" s="77" t="s">
        <v>339</v>
      </c>
      <c r="B9" s="77">
        <v>4</v>
      </c>
      <c r="D9" s="73" t="s">
        <v>340</v>
      </c>
      <c r="E9" s="74" t="s">
        <v>341</v>
      </c>
      <c r="F9" s="74" t="s">
        <v>342</v>
      </c>
      <c r="I9" s="75" t="s">
        <v>91</v>
      </c>
      <c r="J9" s="78"/>
      <c r="K9" s="67"/>
      <c r="L9" s="67"/>
    </row>
    <row r="10" spans="1:12" ht="28.5" x14ac:dyDescent="0.2">
      <c r="D10" s="73" t="s">
        <v>343</v>
      </c>
      <c r="E10" s="74" t="s">
        <v>344</v>
      </c>
      <c r="F10" s="74" t="s">
        <v>345</v>
      </c>
      <c r="I10" s="75" t="s">
        <v>346</v>
      </c>
      <c r="J10" s="78"/>
      <c r="K10" s="67"/>
      <c r="L10" s="67"/>
    </row>
    <row r="11" spans="1:12" ht="30" x14ac:dyDescent="0.2">
      <c r="D11" s="73" t="s">
        <v>347</v>
      </c>
      <c r="E11" s="74" t="s">
        <v>348</v>
      </c>
      <c r="F11" s="74" t="s">
        <v>349</v>
      </c>
      <c r="I11" s="75" t="s">
        <v>350</v>
      </c>
      <c r="J11" s="78"/>
      <c r="K11" s="67"/>
      <c r="L11" s="67"/>
    </row>
    <row r="12" spans="1:12" ht="30" x14ac:dyDescent="0.2">
      <c r="D12" s="73" t="s">
        <v>351</v>
      </c>
      <c r="E12" s="74" t="s">
        <v>352</v>
      </c>
      <c r="F12" s="74" t="s">
        <v>353</v>
      </c>
      <c r="I12" s="75" t="s">
        <v>94</v>
      </c>
      <c r="J12" s="78"/>
      <c r="K12" s="67"/>
      <c r="L12" s="67"/>
    </row>
    <row r="13" spans="1:12" ht="30" x14ac:dyDescent="0.2">
      <c r="D13" s="73" t="s">
        <v>354</v>
      </c>
      <c r="E13" s="74" t="s">
        <v>355</v>
      </c>
      <c r="F13" s="74" t="s">
        <v>356</v>
      </c>
      <c r="I13" s="75" t="s">
        <v>98</v>
      </c>
      <c r="J13" s="78"/>
      <c r="K13" s="67"/>
      <c r="L13" s="67"/>
    </row>
    <row r="14" spans="1:12" ht="28.5" x14ac:dyDescent="0.2">
      <c r="D14" s="73" t="s">
        <v>357</v>
      </c>
      <c r="E14" s="74" t="s">
        <v>358</v>
      </c>
      <c r="F14" s="74" t="s">
        <v>359</v>
      </c>
      <c r="I14" s="75" t="s">
        <v>360</v>
      </c>
      <c r="J14" s="78"/>
      <c r="K14" s="67"/>
      <c r="L14" s="67"/>
    </row>
    <row r="15" spans="1:12" ht="30" x14ac:dyDescent="0.2">
      <c r="D15" s="73" t="s">
        <v>253</v>
      </c>
      <c r="E15" s="74" t="s">
        <v>361</v>
      </c>
      <c r="F15" s="74" t="s">
        <v>362</v>
      </c>
      <c r="I15" s="75" t="s">
        <v>363</v>
      </c>
      <c r="J15" s="78"/>
      <c r="K15" s="67"/>
      <c r="L15" s="67"/>
    </row>
    <row r="16" spans="1:12" ht="30" x14ac:dyDescent="0.2">
      <c r="D16" s="73" t="s">
        <v>364</v>
      </c>
      <c r="E16" s="74" t="s">
        <v>365</v>
      </c>
      <c r="F16" s="74" t="s">
        <v>366</v>
      </c>
      <c r="I16" s="75" t="s">
        <v>367</v>
      </c>
      <c r="J16" s="78"/>
      <c r="K16" s="67"/>
      <c r="L16" s="67"/>
    </row>
    <row r="17" spans="4:13" ht="28.5" x14ac:dyDescent="0.2">
      <c r="D17" s="73" t="s">
        <v>368</v>
      </c>
      <c r="E17" s="74" t="s">
        <v>369</v>
      </c>
      <c r="F17" s="74" t="s">
        <v>370</v>
      </c>
      <c r="I17" s="75" t="s">
        <v>371</v>
      </c>
      <c r="J17" s="78"/>
      <c r="K17" s="67"/>
      <c r="L17" s="67"/>
    </row>
    <row r="18" spans="4:13" ht="28.5" x14ac:dyDescent="0.2">
      <c r="D18" s="73" t="s">
        <v>372</v>
      </c>
      <c r="E18" s="74" t="s">
        <v>373</v>
      </c>
      <c r="F18" s="74" t="s">
        <v>374</v>
      </c>
      <c r="I18" s="75" t="s">
        <v>375</v>
      </c>
      <c r="J18" s="78"/>
      <c r="K18" s="67"/>
      <c r="L18" s="67"/>
    </row>
    <row r="19" spans="4:13" ht="28.5" x14ac:dyDescent="0.2">
      <c r="D19" s="73" t="s">
        <v>376</v>
      </c>
      <c r="E19" s="74" t="s">
        <v>377</v>
      </c>
      <c r="F19" s="74" t="s">
        <v>378</v>
      </c>
      <c r="I19" s="75" t="s">
        <v>101</v>
      </c>
      <c r="J19" s="78"/>
      <c r="K19" s="67"/>
      <c r="L19" s="80"/>
    </row>
    <row r="20" spans="4:13" ht="30" x14ac:dyDescent="0.2">
      <c r="D20" s="73" t="s">
        <v>379</v>
      </c>
      <c r="E20" s="74" t="s">
        <v>380</v>
      </c>
      <c r="F20" s="74" t="s">
        <v>381</v>
      </c>
      <c r="G20" s="81"/>
      <c r="H20" s="81"/>
      <c r="I20" s="75" t="s">
        <v>382</v>
      </c>
      <c r="J20" s="78"/>
      <c r="K20" s="80"/>
      <c r="L20" s="80"/>
      <c r="M20" s="81"/>
    </row>
    <row r="21" spans="4:13" ht="42.75" x14ac:dyDescent="0.2">
      <c r="D21" s="82" t="s">
        <v>383</v>
      </c>
      <c r="E21" s="74" t="s">
        <v>384</v>
      </c>
      <c r="F21" s="74" t="s">
        <v>385</v>
      </c>
      <c r="G21" s="81"/>
      <c r="H21" s="81"/>
      <c r="I21" s="75" t="s">
        <v>386</v>
      </c>
      <c r="J21" s="78"/>
      <c r="K21" s="80"/>
      <c r="L21" s="80"/>
      <c r="M21" s="81"/>
    </row>
    <row r="22" spans="4:13" ht="28.5" x14ac:dyDescent="0.2">
      <c r="D22" s="82" t="s">
        <v>387</v>
      </c>
      <c r="E22" s="74" t="s">
        <v>388</v>
      </c>
      <c r="F22" s="74" t="s">
        <v>389</v>
      </c>
      <c r="G22" s="81"/>
      <c r="H22" s="81"/>
      <c r="I22" s="75" t="s">
        <v>390</v>
      </c>
      <c r="J22" s="78"/>
      <c r="K22" s="80"/>
      <c r="L22" s="80"/>
      <c r="M22" s="81"/>
    </row>
    <row r="23" spans="4:13" ht="71.25" x14ac:dyDescent="0.2">
      <c r="D23" s="82" t="s">
        <v>391</v>
      </c>
      <c r="E23" s="74" t="s">
        <v>392</v>
      </c>
      <c r="F23" s="74" t="s">
        <v>393</v>
      </c>
      <c r="G23" s="81"/>
      <c r="H23" s="81"/>
      <c r="I23" s="75" t="s">
        <v>104</v>
      </c>
      <c r="J23" s="78"/>
      <c r="K23" s="80"/>
      <c r="L23" s="80"/>
      <c r="M23" s="81"/>
    </row>
    <row r="24" spans="4:13" ht="28.5" x14ac:dyDescent="0.2">
      <c r="D24" s="73" t="s">
        <v>394</v>
      </c>
      <c r="E24" s="74" t="s">
        <v>395</v>
      </c>
      <c r="F24" s="74" t="s">
        <v>396</v>
      </c>
      <c r="G24" s="81"/>
      <c r="H24" s="81"/>
      <c r="I24" s="75" t="s">
        <v>397</v>
      </c>
      <c r="J24" s="78"/>
      <c r="K24" s="80"/>
      <c r="L24" s="80"/>
      <c r="M24" s="81"/>
    </row>
    <row r="25" spans="4:13" ht="28.5" x14ac:dyDescent="0.2">
      <c r="D25" s="73" t="s">
        <v>398</v>
      </c>
      <c r="E25" s="74" t="s">
        <v>399</v>
      </c>
      <c r="F25" s="74" t="s">
        <v>400</v>
      </c>
      <c r="G25" s="81"/>
      <c r="H25" s="81"/>
      <c r="I25" s="75" t="s">
        <v>401</v>
      </c>
      <c r="J25" s="78"/>
      <c r="K25" s="80"/>
      <c r="L25" s="80"/>
      <c r="M25" s="81"/>
    </row>
    <row r="26" spans="4:13" ht="28.5" x14ac:dyDescent="0.2">
      <c r="D26" s="73" t="s">
        <v>402</v>
      </c>
      <c r="E26" s="74" t="s">
        <v>403</v>
      </c>
      <c r="F26" s="74" t="s">
        <v>404</v>
      </c>
      <c r="G26" s="81"/>
      <c r="H26" s="81"/>
      <c r="I26" s="75" t="s">
        <v>405</v>
      </c>
      <c r="J26" s="78"/>
      <c r="K26" s="80"/>
      <c r="L26" s="83"/>
      <c r="M26" s="81"/>
    </row>
    <row r="27" spans="4:13" ht="29.25" x14ac:dyDescent="0.25">
      <c r="D27" s="73" t="s">
        <v>406</v>
      </c>
      <c r="E27" s="74" t="s">
        <v>407</v>
      </c>
      <c r="F27" s="74" t="s">
        <v>408</v>
      </c>
      <c r="G27" s="81"/>
      <c r="H27" s="81"/>
      <c r="I27" s="75" t="s">
        <v>409</v>
      </c>
      <c r="J27" s="78"/>
      <c r="K27" s="80"/>
      <c r="L27" s="83"/>
      <c r="M27" s="84"/>
    </row>
    <row r="28" spans="4:13" ht="29.25" x14ac:dyDescent="0.25">
      <c r="D28" s="73" t="s">
        <v>410</v>
      </c>
      <c r="E28" s="74" t="s">
        <v>411</v>
      </c>
      <c r="F28" s="74" t="s">
        <v>412</v>
      </c>
      <c r="G28" s="81"/>
      <c r="H28" s="81"/>
      <c r="I28" s="75" t="s">
        <v>413</v>
      </c>
      <c r="J28" s="78"/>
      <c r="K28" s="80"/>
      <c r="L28" s="83"/>
      <c r="M28" s="84"/>
    </row>
    <row r="29" spans="4:13" ht="43.5" x14ac:dyDescent="0.25">
      <c r="D29" s="73" t="s">
        <v>414</v>
      </c>
      <c r="E29" s="74" t="s">
        <v>415</v>
      </c>
      <c r="F29" s="74" t="s">
        <v>416</v>
      </c>
      <c r="G29" s="81"/>
      <c r="H29" s="81"/>
      <c r="I29" s="75" t="s">
        <v>417</v>
      </c>
      <c r="J29" s="78"/>
      <c r="K29" s="80"/>
      <c r="L29" s="80"/>
      <c r="M29" s="84"/>
    </row>
    <row r="30" spans="4:13" ht="28.5" x14ac:dyDescent="0.2">
      <c r="D30" s="73" t="s">
        <v>418</v>
      </c>
      <c r="E30" s="74" t="s">
        <v>419</v>
      </c>
      <c r="F30" s="74" t="s">
        <v>420</v>
      </c>
      <c r="G30" s="81"/>
      <c r="H30" s="81"/>
      <c r="I30" s="75" t="s">
        <v>421</v>
      </c>
      <c r="J30" s="78"/>
      <c r="K30" s="80"/>
      <c r="L30" s="80"/>
      <c r="M30" s="81"/>
    </row>
    <row r="31" spans="4:13" ht="28.5" x14ac:dyDescent="0.2">
      <c r="D31" s="73" t="s">
        <v>422</v>
      </c>
      <c r="E31" s="74" t="s">
        <v>423</v>
      </c>
      <c r="F31" s="74" t="s">
        <v>424</v>
      </c>
      <c r="G31" s="81"/>
      <c r="H31" s="81"/>
      <c r="I31" s="75" t="s">
        <v>425</v>
      </c>
      <c r="J31" s="78"/>
      <c r="K31" s="80"/>
      <c r="L31" s="80"/>
      <c r="M31" s="81"/>
    </row>
    <row r="32" spans="4:13" ht="28.5" x14ac:dyDescent="0.2">
      <c r="D32" s="73" t="s">
        <v>426</v>
      </c>
      <c r="E32" s="74" t="s">
        <v>427</v>
      </c>
      <c r="F32" s="74" t="s">
        <v>428</v>
      </c>
      <c r="G32" s="81"/>
      <c r="H32" s="81"/>
      <c r="I32" s="75" t="s">
        <v>107</v>
      </c>
      <c r="J32" s="78"/>
      <c r="K32" s="80"/>
      <c r="L32" s="80"/>
      <c r="M32" s="81"/>
    </row>
    <row r="33" spans="4:13" ht="42.75" x14ac:dyDescent="0.2">
      <c r="D33" s="73" t="s">
        <v>429</v>
      </c>
      <c r="E33" s="74" t="s">
        <v>430</v>
      </c>
      <c r="F33" s="74" t="s">
        <v>431</v>
      </c>
      <c r="G33" s="81"/>
      <c r="H33" s="81"/>
      <c r="I33" s="75" t="s">
        <v>42</v>
      </c>
      <c r="J33" s="78"/>
      <c r="K33" s="80"/>
      <c r="L33" s="80"/>
      <c r="M33" s="81"/>
    </row>
    <row r="34" spans="4:13" ht="71.25" x14ac:dyDescent="0.2">
      <c r="D34" s="73" t="s">
        <v>432</v>
      </c>
      <c r="E34" s="74" t="s">
        <v>433</v>
      </c>
      <c r="F34" s="74" t="s">
        <v>434</v>
      </c>
      <c r="G34" s="81"/>
      <c r="H34" s="81"/>
      <c r="I34" s="75" t="s">
        <v>435</v>
      </c>
      <c r="J34" s="78"/>
      <c r="K34" s="80"/>
      <c r="L34" s="80"/>
      <c r="M34" s="81"/>
    </row>
    <row r="35" spans="4:13" ht="42.75" x14ac:dyDescent="0.2">
      <c r="D35" s="73" t="s">
        <v>436</v>
      </c>
      <c r="E35" s="74" t="s">
        <v>437</v>
      </c>
      <c r="F35" s="74" t="s">
        <v>438</v>
      </c>
      <c r="G35" s="81"/>
      <c r="H35" s="81"/>
      <c r="I35" s="75" t="s">
        <v>110</v>
      </c>
      <c r="J35" s="78"/>
      <c r="K35" s="80"/>
      <c r="L35" s="67"/>
      <c r="M35" s="81"/>
    </row>
    <row r="36" spans="4:13" ht="42.75" x14ac:dyDescent="0.2">
      <c r="D36" s="73" t="s">
        <v>439</v>
      </c>
      <c r="E36" s="74" t="s">
        <v>440</v>
      </c>
      <c r="F36" s="74" t="s">
        <v>441</v>
      </c>
      <c r="I36" s="75" t="s">
        <v>113</v>
      </c>
      <c r="J36" s="78"/>
      <c r="K36" s="67"/>
      <c r="L36" s="67"/>
    </row>
    <row r="37" spans="4:13" ht="42.75" x14ac:dyDescent="0.2">
      <c r="D37" s="73" t="s">
        <v>442</v>
      </c>
      <c r="E37" s="74" t="s">
        <v>443</v>
      </c>
      <c r="F37" s="74" t="s">
        <v>444</v>
      </c>
      <c r="I37" s="75" t="s">
        <v>445</v>
      </c>
      <c r="J37" s="78"/>
      <c r="K37" s="67"/>
      <c r="L37" s="67"/>
    </row>
    <row r="38" spans="4:13" ht="57" x14ac:dyDescent="0.2">
      <c r="D38" s="73" t="s">
        <v>446</v>
      </c>
      <c r="E38" s="74" t="s">
        <v>447</v>
      </c>
      <c r="F38" s="74" t="s">
        <v>448</v>
      </c>
      <c r="I38" s="75" t="s">
        <v>449</v>
      </c>
      <c r="J38" s="78"/>
      <c r="K38" s="67"/>
      <c r="L38" s="67"/>
    </row>
    <row r="39" spans="4:13" ht="85.5" x14ac:dyDescent="0.2">
      <c r="D39" s="73" t="s">
        <v>450</v>
      </c>
      <c r="E39" s="74" t="s">
        <v>451</v>
      </c>
      <c r="F39" s="74" t="s">
        <v>452</v>
      </c>
      <c r="I39" s="75" t="s">
        <v>453</v>
      </c>
      <c r="J39" s="78"/>
      <c r="K39" s="67"/>
      <c r="L39" s="67"/>
    </row>
    <row r="40" spans="4:13" ht="42.75" x14ac:dyDescent="0.2">
      <c r="D40" s="73" t="s">
        <v>454</v>
      </c>
      <c r="E40" s="74" t="s">
        <v>455</v>
      </c>
      <c r="F40" s="74" t="s">
        <v>456</v>
      </c>
      <c r="I40" s="75" t="s">
        <v>457</v>
      </c>
      <c r="J40" s="78"/>
      <c r="K40" s="67"/>
      <c r="L40" s="67"/>
    </row>
    <row r="41" spans="4:13" ht="71.25" x14ac:dyDescent="0.2">
      <c r="D41" s="73" t="s">
        <v>458</v>
      </c>
      <c r="E41" s="74" t="s">
        <v>459</v>
      </c>
      <c r="F41" s="74" t="s">
        <v>460</v>
      </c>
      <c r="I41" s="75" t="s">
        <v>461</v>
      </c>
      <c r="J41" s="78"/>
      <c r="K41" s="67"/>
      <c r="L41" s="67"/>
    </row>
    <row r="42" spans="4:13" ht="42.75" x14ac:dyDescent="0.2">
      <c r="D42" s="73" t="s">
        <v>462</v>
      </c>
      <c r="E42" s="74" t="s">
        <v>463</v>
      </c>
      <c r="F42" s="74" t="s">
        <v>464</v>
      </c>
      <c r="I42" s="75" t="s">
        <v>465</v>
      </c>
      <c r="J42" s="78"/>
      <c r="K42" s="67"/>
      <c r="L42" s="67"/>
    </row>
    <row r="43" spans="4:13" ht="42.75" x14ac:dyDescent="0.2">
      <c r="D43" s="73" t="s">
        <v>55</v>
      </c>
      <c r="E43" s="74" t="s">
        <v>466</v>
      </c>
      <c r="F43" s="74" t="s">
        <v>467</v>
      </c>
      <c r="I43" s="75" t="s">
        <v>468</v>
      </c>
      <c r="J43" s="78"/>
      <c r="K43" s="67"/>
      <c r="L43" s="67"/>
    </row>
    <row r="44" spans="4:13" ht="28.5" x14ac:dyDescent="0.2">
      <c r="D44" s="85" t="s">
        <v>469</v>
      </c>
      <c r="E44" s="86" t="s">
        <v>470</v>
      </c>
      <c r="F44" s="86" t="s">
        <v>471</v>
      </c>
      <c r="I44" s="75" t="s">
        <v>472</v>
      </c>
      <c r="J44" s="78"/>
      <c r="K44" s="67"/>
      <c r="L44" s="67"/>
    </row>
    <row r="45" spans="4:13" ht="28.5" x14ac:dyDescent="0.2">
      <c r="D45" s="85" t="s">
        <v>473</v>
      </c>
      <c r="E45" s="86" t="s">
        <v>474</v>
      </c>
      <c r="F45" s="86" t="s">
        <v>475</v>
      </c>
      <c r="I45" s="75" t="s">
        <v>476</v>
      </c>
      <c r="J45" s="78"/>
      <c r="K45" s="67"/>
      <c r="L45" s="67"/>
    </row>
    <row r="46" spans="4:13" ht="30" x14ac:dyDescent="0.2">
      <c r="D46" s="85" t="s">
        <v>477</v>
      </c>
      <c r="E46" s="86" t="s">
        <v>478</v>
      </c>
      <c r="F46" s="86" t="s">
        <v>479</v>
      </c>
      <c r="I46" s="75" t="s">
        <v>116</v>
      </c>
      <c r="J46" s="78"/>
      <c r="K46" s="67"/>
      <c r="L46" s="67"/>
    </row>
    <row r="47" spans="4:13" ht="42.75" x14ac:dyDescent="0.2">
      <c r="D47" s="85" t="s">
        <v>480</v>
      </c>
      <c r="E47" s="86" t="s">
        <v>481</v>
      </c>
      <c r="F47" s="86" t="s">
        <v>482</v>
      </c>
      <c r="I47" s="75" t="s">
        <v>483</v>
      </c>
      <c r="J47" s="78"/>
      <c r="K47" s="67"/>
      <c r="L47" s="67"/>
    </row>
    <row r="48" spans="4:13" ht="30" x14ac:dyDescent="0.2">
      <c r="D48" s="85" t="s">
        <v>484</v>
      </c>
      <c r="E48" s="86" t="s">
        <v>485</v>
      </c>
      <c r="F48" s="86" t="s">
        <v>486</v>
      </c>
      <c r="I48" s="75" t="s">
        <v>487</v>
      </c>
      <c r="J48" s="78"/>
      <c r="K48" s="67"/>
      <c r="L48" s="67"/>
    </row>
    <row r="49" spans="4:12" ht="28.5" x14ac:dyDescent="0.2">
      <c r="D49" s="85" t="s">
        <v>488</v>
      </c>
      <c r="E49" s="86" t="s">
        <v>489</v>
      </c>
      <c r="F49" s="86" t="s">
        <v>490</v>
      </c>
      <c r="I49" s="75" t="s">
        <v>119</v>
      </c>
      <c r="J49" s="78"/>
      <c r="K49" s="67"/>
      <c r="L49" s="67"/>
    </row>
    <row r="50" spans="4:12" ht="28.5" x14ac:dyDescent="0.2">
      <c r="D50" s="85" t="s">
        <v>491</v>
      </c>
      <c r="E50" s="86" t="s">
        <v>492</v>
      </c>
      <c r="F50" s="86" t="s">
        <v>493</v>
      </c>
      <c r="I50" s="75" t="s">
        <v>494</v>
      </c>
      <c r="J50" s="78"/>
      <c r="K50" s="67"/>
      <c r="L50" s="67"/>
    </row>
    <row r="51" spans="4:12" ht="28.5" x14ac:dyDescent="0.2">
      <c r="D51" s="85" t="s">
        <v>495</v>
      </c>
      <c r="E51" s="86" t="s">
        <v>496</v>
      </c>
      <c r="F51" s="86" t="s">
        <v>497</v>
      </c>
      <c r="I51" s="75" t="s">
        <v>498</v>
      </c>
      <c r="J51" s="78"/>
      <c r="K51" s="67"/>
      <c r="L51" s="67"/>
    </row>
    <row r="52" spans="4:12" ht="28.5" x14ac:dyDescent="0.2">
      <c r="D52" s="85" t="s">
        <v>499</v>
      </c>
      <c r="E52" s="86" t="s">
        <v>500</v>
      </c>
      <c r="F52" s="86" t="s">
        <v>501</v>
      </c>
      <c r="I52" s="75" t="s">
        <v>502</v>
      </c>
      <c r="J52" s="78"/>
      <c r="K52" s="67"/>
      <c r="L52" s="67"/>
    </row>
    <row r="53" spans="4:12" ht="42.75" x14ac:dyDescent="0.2">
      <c r="D53" s="85" t="s">
        <v>503</v>
      </c>
      <c r="E53" s="86" t="s">
        <v>504</v>
      </c>
      <c r="F53" s="86" t="s">
        <v>505</v>
      </c>
      <c r="I53" s="75" t="s">
        <v>506</v>
      </c>
      <c r="J53" s="78"/>
      <c r="K53" s="67"/>
      <c r="L53" s="67"/>
    </row>
    <row r="54" spans="4:12" ht="28.5" x14ac:dyDescent="0.2">
      <c r="D54" s="85" t="s">
        <v>507</v>
      </c>
      <c r="E54" s="86" t="s">
        <v>508</v>
      </c>
      <c r="F54" s="86" t="s">
        <v>509</v>
      </c>
      <c r="I54" s="75" t="s">
        <v>510</v>
      </c>
      <c r="J54" s="78"/>
      <c r="K54" s="67"/>
      <c r="L54" s="67"/>
    </row>
    <row r="55" spans="4:12" ht="28.5" x14ac:dyDescent="0.2">
      <c r="D55" s="87" t="s">
        <v>511</v>
      </c>
      <c r="E55" s="88" t="s">
        <v>512</v>
      </c>
      <c r="F55" s="88" t="s">
        <v>513</v>
      </c>
      <c r="I55" s="75" t="s">
        <v>514</v>
      </c>
      <c r="J55" s="78"/>
      <c r="K55" s="67"/>
      <c r="L55" s="67"/>
    </row>
    <row r="56" spans="4:12" ht="45" x14ac:dyDescent="0.2">
      <c r="D56" s="87" t="s">
        <v>515</v>
      </c>
      <c r="E56" s="88" t="s">
        <v>516</v>
      </c>
      <c r="F56" s="88" t="s">
        <v>517</v>
      </c>
      <c r="I56" s="75" t="s">
        <v>518</v>
      </c>
      <c r="J56" s="78"/>
      <c r="K56" s="67"/>
      <c r="L56" s="67"/>
    </row>
    <row r="57" spans="4:12" ht="45" x14ac:dyDescent="0.2">
      <c r="D57" s="87" t="s">
        <v>519</v>
      </c>
      <c r="E57" s="88" t="s">
        <v>520</v>
      </c>
      <c r="F57" s="88" t="s">
        <v>513</v>
      </c>
      <c r="I57" s="75" t="s">
        <v>521</v>
      </c>
      <c r="J57" s="78"/>
      <c r="K57" s="67"/>
      <c r="L57" s="67"/>
    </row>
    <row r="58" spans="4:12" ht="30" x14ac:dyDescent="0.2">
      <c r="D58" s="87" t="s">
        <v>522</v>
      </c>
      <c r="E58" s="88" t="s">
        <v>523</v>
      </c>
      <c r="F58" s="88" t="s">
        <v>517</v>
      </c>
      <c r="I58" s="75" t="s">
        <v>122</v>
      </c>
      <c r="J58" s="78"/>
      <c r="K58" s="67"/>
      <c r="L58" s="67"/>
    </row>
    <row r="59" spans="4:12" ht="30" x14ac:dyDescent="0.2">
      <c r="D59" s="87" t="s">
        <v>524</v>
      </c>
      <c r="E59" s="88" t="s">
        <v>525</v>
      </c>
      <c r="F59" s="88" t="s">
        <v>526</v>
      </c>
      <c r="I59" s="75" t="s">
        <v>527</v>
      </c>
      <c r="J59" s="78"/>
      <c r="K59" s="67"/>
      <c r="L59" s="67"/>
    </row>
    <row r="60" spans="4:12" ht="71.25" x14ac:dyDescent="0.2">
      <c r="D60" s="87" t="s">
        <v>528</v>
      </c>
      <c r="E60" s="88" t="s">
        <v>529</v>
      </c>
      <c r="F60" s="88"/>
      <c r="I60" s="75" t="s">
        <v>125</v>
      </c>
      <c r="J60" s="78"/>
      <c r="K60" s="67"/>
      <c r="L60" s="67"/>
    </row>
    <row r="61" spans="4:12" ht="71.25" x14ac:dyDescent="0.2">
      <c r="D61" s="87" t="s">
        <v>530</v>
      </c>
      <c r="E61" s="88" t="s">
        <v>531</v>
      </c>
      <c r="F61" s="88"/>
      <c r="I61" s="75" t="s">
        <v>532</v>
      </c>
      <c r="J61" s="78"/>
      <c r="K61" s="67"/>
      <c r="L61" s="67"/>
    </row>
    <row r="62" spans="4:12" ht="57" x14ac:dyDescent="0.2">
      <c r="D62" s="87" t="s">
        <v>533</v>
      </c>
      <c r="E62" s="88" t="s">
        <v>534</v>
      </c>
      <c r="F62" s="88"/>
      <c r="I62" s="75" t="s">
        <v>535</v>
      </c>
      <c r="J62" s="78"/>
      <c r="K62" s="67"/>
      <c r="L62" s="67"/>
    </row>
    <row r="63" spans="4:12" ht="71.25" x14ac:dyDescent="0.2">
      <c r="D63" s="87" t="s">
        <v>536</v>
      </c>
      <c r="E63" s="88" t="s">
        <v>537</v>
      </c>
      <c r="F63" s="88" t="s">
        <v>538</v>
      </c>
      <c r="I63" s="75" t="s">
        <v>539</v>
      </c>
      <c r="J63" s="78"/>
      <c r="K63" s="67"/>
      <c r="L63" s="67"/>
    </row>
    <row r="64" spans="4:12" ht="15" x14ac:dyDescent="0.2">
      <c r="D64" s="89" t="s">
        <v>540</v>
      </c>
      <c r="E64" s="88" t="s">
        <v>541</v>
      </c>
      <c r="F64" s="89"/>
      <c r="I64" s="75" t="s">
        <v>542</v>
      </c>
      <c r="J64" s="78"/>
      <c r="K64" s="67"/>
      <c r="L64" s="67"/>
    </row>
    <row r="65" spans="4:12" ht="42.75" x14ac:dyDescent="0.2">
      <c r="D65" s="90" t="s">
        <v>543</v>
      </c>
      <c r="E65" s="91" t="s">
        <v>544</v>
      </c>
      <c r="F65" s="92"/>
      <c r="I65" s="75" t="s">
        <v>127</v>
      </c>
      <c r="J65" s="78"/>
      <c r="K65" s="67"/>
      <c r="L65" s="67"/>
    </row>
    <row r="66" spans="4:12" ht="28.5" x14ac:dyDescent="0.2">
      <c r="D66" s="90" t="s">
        <v>545</v>
      </c>
      <c r="E66" s="91" t="s">
        <v>546</v>
      </c>
      <c r="F66" s="92"/>
      <c r="I66" s="75" t="s">
        <v>547</v>
      </c>
      <c r="J66" s="78"/>
      <c r="K66" s="67"/>
      <c r="L66" s="67"/>
    </row>
    <row r="67" spans="4:12" ht="42.75" x14ac:dyDescent="0.2">
      <c r="D67" s="90" t="s">
        <v>548</v>
      </c>
      <c r="E67" s="91" t="s">
        <v>549</v>
      </c>
      <c r="F67" s="92"/>
      <c r="I67" s="75" t="s">
        <v>550</v>
      </c>
      <c r="J67" s="78"/>
      <c r="K67" s="67"/>
      <c r="L67" s="67"/>
    </row>
    <row r="68" spans="4:12" ht="28.5" x14ac:dyDescent="0.2">
      <c r="D68" s="90" t="s">
        <v>551</v>
      </c>
      <c r="E68" s="91" t="s">
        <v>552</v>
      </c>
      <c r="F68" s="92"/>
      <c r="I68" s="75"/>
      <c r="J68" s="78"/>
      <c r="K68" s="67"/>
      <c r="L68" s="67"/>
    </row>
    <row r="69" spans="4:12" ht="28.5" x14ac:dyDescent="0.2">
      <c r="D69" s="93" t="s">
        <v>278</v>
      </c>
      <c r="E69" s="94" t="s">
        <v>277</v>
      </c>
      <c r="F69" s="94" t="s">
        <v>553</v>
      </c>
      <c r="I69" s="75"/>
      <c r="J69" s="78"/>
      <c r="K69" s="67"/>
      <c r="L69" s="67"/>
    </row>
    <row r="70" spans="4:12" ht="30" x14ac:dyDescent="0.2">
      <c r="D70" s="93" t="s">
        <v>282</v>
      </c>
      <c r="E70" s="95" t="s">
        <v>281</v>
      </c>
      <c r="F70" s="95"/>
      <c r="I70" s="75" t="s">
        <v>554</v>
      </c>
      <c r="J70" s="78"/>
      <c r="K70" s="67"/>
      <c r="L70" s="67"/>
    </row>
    <row r="71" spans="4:12" ht="57" x14ac:dyDescent="0.2">
      <c r="D71" s="93" t="s">
        <v>280</v>
      </c>
      <c r="E71" s="94" t="s">
        <v>279</v>
      </c>
      <c r="F71" s="94" t="s">
        <v>555</v>
      </c>
      <c r="I71" s="75" t="s">
        <v>556</v>
      </c>
      <c r="J71" s="78"/>
      <c r="K71" s="67"/>
      <c r="L71" s="67"/>
    </row>
    <row r="72" spans="4:12" ht="30" x14ac:dyDescent="0.2">
      <c r="I72" s="75" t="s">
        <v>137</v>
      </c>
      <c r="J72" s="78"/>
      <c r="K72" s="67"/>
      <c r="L72" s="67"/>
    </row>
    <row r="73" spans="4:12" ht="30" x14ac:dyDescent="0.2">
      <c r="I73" s="75" t="s">
        <v>557</v>
      </c>
      <c r="J73" s="78"/>
      <c r="K73" s="67"/>
      <c r="L73" s="67"/>
    </row>
    <row r="74" spans="4:12" ht="30" x14ac:dyDescent="0.2">
      <c r="I74" s="75" t="s">
        <v>558</v>
      </c>
      <c r="J74" s="78"/>
      <c r="K74" s="67"/>
      <c r="L74" s="67"/>
    </row>
    <row r="75" spans="4:12" ht="15" x14ac:dyDescent="0.2">
      <c r="I75" s="75" t="s">
        <v>559</v>
      </c>
      <c r="J75" s="78"/>
      <c r="K75" s="67"/>
    </row>
    <row r="76" spans="4:12" ht="15" x14ac:dyDescent="0.2">
      <c r="I76" s="75" t="s">
        <v>560</v>
      </c>
      <c r="J76" s="78"/>
      <c r="K76" s="67"/>
    </row>
    <row r="77" spans="4:12" ht="30" x14ac:dyDescent="0.2">
      <c r="I77" s="75" t="s">
        <v>561</v>
      </c>
      <c r="J77" s="78"/>
      <c r="K77" s="67"/>
    </row>
    <row r="78" spans="4:12" ht="15" x14ac:dyDescent="0.2">
      <c r="I78" s="75" t="s">
        <v>134</v>
      </c>
      <c r="J78" s="78"/>
      <c r="K78" s="67"/>
    </row>
    <row r="79" spans="4:12" ht="15" x14ac:dyDescent="0.2">
      <c r="I79" s="75" t="s">
        <v>562</v>
      </c>
      <c r="J79" s="78"/>
      <c r="K79" s="67"/>
    </row>
    <row r="80" spans="4:12" ht="15" x14ac:dyDescent="0.2">
      <c r="I80" s="75" t="s">
        <v>563</v>
      </c>
      <c r="J80" s="78"/>
      <c r="K80" s="67"/>
    </row>
    <row r="81" spans="9:11" ht="30" x14ac:dyDescent="0.2">
      <c r="I81" s="75" t="s">
        <v>564</v>
      </c>
      <c r="J81" s="78"/>
      <c r="K81" s="67"/>
    </row>
    <row r="82" spans="9:11" ht="15" x14ac:dyDescent="0.2">
      <c r="I82" s="75" t="s">
        <v>140</v>
      </c>
      <c r="J82" s="78"/>
      <c r="K82" s="67"/>
    </row>
    <row r="83" spans="9:11" ht="15" x14ac:dyDescent="0.2">
      <c r="I83" s="75" t="s">
        <v>565</v>
      </c>
      <c r="J83" s="78"/>
      <c r="K83" s="67"/>
    </row>
    <row r="84" spans="9:11" ht="15" x14ac:dyDescent="0.2">
      <c r="I84" s="75" t="s">
        <v>566</v>
      </c>
      <c r="J84" s="78"/>
      <c r="K84" s="67"/>
    </row>
    <row r="85" spans="9:11" ht="30" x14ac:dyDescent="0.2">
      <c r="I85" s="75" t="s">
        <v>567</v>
      </c>
      <c r="J85" s="78"/>
      <c r="K85" s="67"/>
    </row>
    <row r="86" spans="9:11" ht="15" x14ac:dyDescent="0.2">
      <c r="I86" s="75" t="s">
        <v>568</v>
      </c>
      <c r="J86" s="78"/>
      <c r="K86" s="67"/>
    </row>
    <row r="87" spans="9:11" ht="15" x14ac:dyDescent="0.2">
      <c r="I87" s="75" t="s">
        <v>569</v>
      </c>
      <c r="J87" s="78"/>
      <c r="K87" s="67"/>
    </row>
    <row r="88" spans="9:11" ht="15" x14ac:dyDescent="0.2">
      <c r="I88" s="75" t="s">
        <v>570</v>
      </c>
      <c r="J88" s="78"/>
      <c r="K88" s="67"/>
    </row>
    <row r="89" spans="9:11" ht="30" x14ac:dyDescent="0.2">
      <c r="I89" s="75" t="s">
        <v>571</v>
      </c>
      <c r="J89" s="78"/>
      <c r="K89" s="67"/>
    </row>
    <row r="90" spans="9:11" ht="15" x14ac:dyDescent="0.2">
      <c r="I90" s="75" t="s">
        <v>572</v>
      </c>
      <c r="J90" s="78"/>
      <c r="K90" s="67"/>
    </row>
    <row r="91" spans="9:11" ht="30" x14ac:dyDescent="0.2">
      <c r="I91" s="75" t="s">
        <v>143</v>
      </c>
      <c r="J91" s="78"/>
      <c r="K91" s="67"/>
    </row>
    <row r="92" spans="9:11" ht="15" x14ac:dyDescent="0.2">
      <c r="I92" s="75" t="s">
        <v>573</v>
      </c>
      <c r="J92" s="78"/>
      <c r="K92" s="67"/>
    </row>
    <row r="93" spans="9:11" ht="30" x14ac:dyDescent="0.2">
      <c r="I93" s="75" t="s">
        <v>574</v>
      </c>
      <c r="J93" s="78"/>
      <c r="K93" s="67"/>
    </row>
    <row r="94" spans="9:11" ht="15" x14ac:dyDescent="0.2">
      <c r="I94" s="75" t="s">
        <v>575</v>
      </c>
      <c r="J94" s="78"/>
      <c r="K94" s="67"/>
    </row>
    <row r="95" spans="9:11" ht="15" x14ac:dyDescent="0.2">
      <c r="I95" s="75" t="s">
        <v>146</v>
      </c>
      <c r="J95" s="78"/>
      <c r="K95" s="67"/>
    </row>
    <row r="96" spans="9:11" ht="30" x14ac:dyDescent="0.2">
      <c r="I96" s="75" t="s">
        <v>576</v>
      </c>
      <c r="J96" s="78"/>
      <c r="K96" s="67"/>
    </row>
    <row r="97" spans="9:11" ht="15" x14ac:dyDescent="0.2">
      <c r="I97" s="75" t="s">
        <v>577</v>
      </c>
      <c r="J97" s="78"/>
      <c r="K97" s="67"/>
    </row>
    <row r="98" spans="9:11" ht="15" x14ac:dyDescent="0.2">
      <c r="I98" s="75" t="s">
        <v>578</v>
      </c>
      <c r="J98" s="78"/>
      <c r="K98" s="67"/>
    </row>
    <row r="99" spans="9:11" ht="15" x14ac:dyDescent="0.2">
      <c r="I99" s="75" t="s">
        <v>149</v>
      </c>
      <c r="J99" s="78"/>
      <c r="K99" s="67"/>
    </row>
    <row r="100" spans="9:11" ht="15" x14ac:dyDescent="0.2">
      <c r="I100" s="75" t="s">
        <v>264</v>
      </c>
      <c r="J100" s="78"/>
      <c r="K100" s="67"/>
    </row>
    <row r="101" spans="9:11" ht="15" x14ac:dyDescent="0.2">
      <c r="I101" s="75" t="s">
        <v>579</v>
      </c>
      <c r="J101" s="78"/>
      <c r="K101" s="67"/>
    </row>
    <row r="102" spans="9:11" ht="15" x14ac:dyDescent="0.2">
      <c r="I102" s="75" t="s">
        <v>131</v>
      </c>
      <c r="J102" s="78"/>
      <c r="K102" s="67"/>
    </row>
    <row r="103" spans="9:11" ht="15" x14ac:dyDescent="0.2">
      <c r="I103" s="75" t="s">
        <v>580</v>
      </c>
      <c r="J103" s="78"/>
      <c r="K103" s="67"/>
    </row>
    <row r="104" spans="9:11" ht="15" x14ac:dyDescent="0.2">
      <c r="I104" s="75" t="s">
        <v>581</v>
      </c>
      <c r="J104" s="78"/>
      <c r="K104" s="67"/>
    </row>
    <row r="105" spans="9:11" ht="15" x14ac:dyDescent="0.2">
      <c r="I105" s="75" t="s">
        <v>152</v>
      </c>
      <c r="J105" s="78"/>
      <c r="K105" s="67"/>
    </row>
    <row r="106" spans="9:11" ht="15" x14ac:dyDescent="0.2">
      <c r="I106" s="75" t="s">
        <v>582</v>
      </c>
      <c r="J106" s="78"/>
      <c r="K106" s="67"/>
    </row>
    <row r="107" spans="9:11" ht="30" x14ac:dyDescent="0.2">
      <c r="I107" s="75" t="s">
        <v>583</v>
      </c>
      <c r="J107" s="78"/>
      <c r="K107" s="67"/>
    </row>
    <row r="108" spans="9:11" ht="15" x14ac:dyDescent="0.2">
      <c r="I108" s="75" t="s">
        <v>584</v>
      </c>
      <c r="J108" s="78"/>
      <c r="K108" s="67"/>
    </row>
    <row r="109" spans="9:11" ht="15" x14ac:dyDescent="0.2">
      <c r="I109" s="75" t="s">
        <v>585</v>
      </c>
      <c r="J109" s="78"/>
      <c r="K109" s="67"/>
    </row>
    <row r="110" spans="9:11" ht="15" x14ac:dyDescent="0.2">
      <c r="I110" s="75" t="s">
        <v>586</v>
      </c>
      <c r="J110" s="78"/>
      <c r="K110" s="67"/>
    </row>
    <row r="111" spans="9:11" ht="15" x14ac:dyDescent="0.2">
      <c r="I111" s="75" t="s">
        <v>587</v>
      </c>
      <c r="J111" s="78"/>
      <c r="K111" s="67"/>
    </row>
    <row r="112" spans="9:11" ht="15" x14ac:dyDescent="0.2">
      <c r="I112" s="75" t="s">
        <v>262</v>
      </c>
      <c r="J112" s="78"/>
      <c r="K112" s="67"/>
    </row>
    <row r="113" spans="9:11" ht="15" x14ac:dyDescent="0.2">
      <c r="I113" s="75" t="s">
        <v>588</v>
      </c>
      <c r="J113" s="78"/>
      <c r="K113" s="67"/>
    </row>
    <row r="114" spans="9:11" ht="15" x14ac:dyDescent="0.2">
      <c r="I114" s="75" t="s">
        <v>589</v>
      </c>
      <c r="J114" s="78"/>
      <c r="K114" s="67"/>
    </row>
    <row r="115" spans="9:11" ht="15" x14ac:dyDescent="0.2">
      <c r="I115" s="75" t="s">
        <v>590</v>
      </c>
      <c r="J115" s="78"/>
      <c r="K115" s="67"/>
    </row>
    <row r="116" spans="9:11" ht="15" x14ac:dyDescent="0.2">
      <c r="I116" s="75" t="s">
        <v>155</v>
      </c>
      <c r="J116" s="78"/>
      <c r="K116" s="67"/>
    </row>
    <row r="117" spans="9:11" ht="30" x14ac:dyDescent="0.2">
      <c r="I117" s="75" t="s">
        <v>591</v>
      </c>
      <c r="J117" s="78"/>
      <c r="K117" s="67"/>
    </row>
    <row r="118" spans="9:11" ht="15" x14ac:dyDescent="0.2">
      <c r="I118" s="75" t="s">
        <v>592</v>
      </c>
      <c r="J118" s="78"/>
      <c r="K118" s="67"/>
    </row>
    <row r="119" spans="9:11" ht="15" x14ac:dyDescent="0.2">
      <c r="I119" s="75" t="s">
        <v>593</v>
      </c>
      <c r="J119" s="78"/>
      <c r="K119" s="67"/>
    </row>
    <row r="120" spans="9:11" ht="15" x14ac:dyDescent="0.2">
      <c r="I120" s="75" t="s">
        <v>158</v>
      </c>
      <c r="J120" s="78"/>
      <c r="K120" s="67"/>
    </row>
    <row r="121" spans="9:11" ht="15" x14ac:dyDescent="0.2">
      <c r="I121" s="75" t="s">
        <v>594</v>
      </c>
      <c r="J121" s="78"/>
      <c r="K121" s="67"/>
    </row>
    <row r="122" spans="9:11" ht="15" x14ac:dyDescent="0.2">
      <c r="I122" s="75" t="s">
        <v>595</v>
      </c>
      <c r="J122" s="78"/>
      <c r="K122" s="67"/>
    </row>
    <row r="123" spans="9:11" ht="15" x14ac:dyDescent="0.2">
      <c r="I123" s="75" t="s">
        <v>596</v>
      </c>
      <c r="J123" s="78"/>
      <c r="K123" s="67"/>
    </row>
    <row r="124" spans="9:11" ht="15" x14ac:dyDescent="0.2">
      <c r="I124" s="75" t="s">
        <v>161</v>
      </c>
      <c r="J124" s="78"/>
      <c r="K124" s="67"/>
    </row>
    <row r="125" spans="9:11" ht="15" x14ac:dyDescent="0.2">
      <c r="I125" s="75" t="s">
        <v>163</v>
      </c>
      <c r="J125" s="78"/>
      <c r="K125" s="67"/>
    </row>
    <row r="126" spans="9:11" ht="15" x14ac:dyDescent="0.2">
      <c r="I126" s="75" t="s">
        <v>166</v>
      </c>
      <c r="J126" s="78"/>
      <c r="K126" s="67"/>
    </row>
    <row r="127" spans="9:11" ht="15" x14ac:dyDescent="0.2">
      <c r="I127" s="75" t="s">
        <v>597</v>
      </c>
      <c r="J127" s="78"/>
      <c r="K127" s="67"/>
    </row>
    <row r="128" spans="9:11" ht="15" x14ac:dyDescent="0.2">
      <c r="I128" s="75" t="s">
        <v>598</v>
      </c>
      <c r="J128" s="78"/>
      <c r="K128" s="67"/>
    </row>
    <row r="129" spans="9:11" ht="15" x14ac:dyDescent="0.2">
      <c r="I129" s="75" t="s">
        <v>168</v>
      </c>
      <c r="J129" s="78"/>
      <c r="K129" s="67"/>
    </row>
    <row r="130" spans="9:11" ht="15" x14ac:dyDescent="0.2">
      <c r="I130" s="75" t="s">
        <v>599</v>
      </c>
      <c r="J130" s="78"/>
      <c r="K130" s="67"/>
    </row>
    <row r="131" spans="9:11" ht="15" x14ac:dyDescent="0.2">
      <c r="I131" s="75" t="s">
        <v>174</v>
      </c>
      <c r="J131" s="78"/>
      <c r="K131" s="67"/>
    </row>
    <row r="132" spans="9:11" ht="15" x14ac:dyDescent="0.2">
      <c r="I132" s="75" t="s">
        <v>600</v>
      </c>
      <c r="J132" s="78"/>
      <c r="K132" s="67"/>
    </row>
    <row r="133" spans="9:11" ht="15" x14ac:dyDescent="0.2">
      <c r="I133" s="75" t="s">
        <v>171</v>
      </c>
      <c r="J133" s="78"/>
      <c r="K133" s="67"/>
    </row>
    <row r="134" spans="9:11" ht="15" x14ac:dyDescent="0.2">
      <c r="I134" s="75" t="s">
        <v>601</v>
      </c>
      <c r="J134" s="78"/>
      <c r="K134" s="67"/>
    </row>
    <row r="135" spans="9:11" ht="15" x14ac:dyDescent="0.2">
      <c r="I135" s="75" t="s">
        <v>602</v>
      </c>
      <c r="J135" s="78"/>
      <c r="K135" s="67"/>
    </row>
    <row r="136" spans="9:11" ht="15" x14ac:dyDescent="0.2">
      <c r="I136" s="75" t="s">
        <v>603</v>
      </c>
      <c r="J136" s="78"/>
      <c r="K136" s="67"/>
    </row>
    <row r="137" spans="9:11" ht="15" x14ac:dyDescent="0.2">
      <c r="I137" s="75" t="s">
        <v>177</v>
      </c>
      <c r="J137" s="78"/>
      <c r="K137" s="67"/>
    </row>
    <row r="138" spans="9:11" ht="15" x14ac:dyDescent="0.2">
      <c r="I138" s="75" t="s">
        <v>604</v>
      </c>
      <c r="J138" s="78"/>
      <c r="K138" s="67"/>
    </row>
    <row r="139" spans="9:11" ht="30" x14ac:dyDescent="0.2">
      <c r="I139" s="75" t="s">
        <v>180</v>
      </c>
      <c r="J139" s="78"/>
      <c r="K139" s="67"/>
    </row>
    <row r="140" spans="9:11" ht="15" x14ac:dyDescent="0.2">
      <c r="I140" s="75" t="s">
        <v>605</v>
      </c>
      <c r="J140" s="78"/>
      <c r="K140" s="67"/>
    </row>
    <row r="141" spans="9:11" ht="15" x14ac:dyDescent="0.2">
      <c r="I141" s="75" t="s">
        <v>606</v>
      </c>
      <c r="J141" s="78"/>
      <c r="K141" s="67"/>
    </row>
    <row r="142" spans="9:11" ht="15" x14ac:dyDescent="0.2">
      <c r="I142" s="75" t="s">
        <v>607</v>
      </c>
      <c r="J142" s="78"/>
      <c r="K142" s="67"/>
    </row>
    <row r="143" spans="9:11" ht="15" x14ac:dyDescent="0.2">
      <c r="I143" s="75" t="s">
        <v>184</v>
      </c>
      <c r="J143" s="78"/>
      <c r="K143" s="67"/>
    </row>
    <row r="144" spans="9:11" ht="15" x14ac:dyDescent="0.2">
      <c r="I144" s="75" t="s">
        <v>608</v>
      </c>
      <c r="J144" s="78"/>
      <c r="K144" s="67"/>
    </row>
    <row r="145" spans="9:11" ht="15" x14ac:dyDescent="0.2">
      <c r="I145" s="75" t="s">
        <v>609</v>
      </c>
      <c r="J145" s="78"/>
      <c r="K145" s="67"/>
    </row>
    <row r="146" spans="9:11" ht="15" x14ac:dyDescent="0.2">
      <c r="I146" s="75" t="s">
        <v>610</v>
      </c>
      <c r="J146" s="78"/>
      <c r="K146" s="67"/>
    </row>
    <row r="147" spans="9:11" ht="30" x14ac:dyDescent="0.2">
      <c r="I147" s="75" t="s">
        <v>611</v>
      </c>
      <c r="J147" s="78"/>
      <c r="K147" s="67"/>
    </row>
    <row r="148" spans="9:11" ht="15" x14ac:dyDescent="0.2">
      <c r="I148" s="75" t="s">
        <v>612</v>
      </c>
      <c r="J148" s="78"/>
      <c r="K148" s="67"/>
    </row>
    <row r="149" spans="9:11" ht="15" x14ac:dyDescent="0.2">
      <c r="I149" s="75" t="s">
        <v>187</v>
      </c>
      <c r="J149" s="78"/>
      <c r="K149" s="67"/>
    </row>
    <row r="150" spans="9:11" ht="15" x14ac:dyDescent="0.2">
      <c r="I150" s="75" t="s">
        <v>613</v>
      </c>
      <c r="J150" s="78"/>
      <c r="K150" s="67"/>
    </row>
    <row r="151" spans="9:11" ht="45" x14ac:dyDescent="0.2">
      <c r="I151" s="75" t="s">
        <v>614</v>
      </c>
      <c r="J151" s="78"/>
      <c r="K151" s="67"/>
    </row>
    <row r="152" spans="9:11" ht="45" x14ac:dyDescent="0.2">
      <c r="I152" s="75" t="s">
        <v>194</v>
      </c>
      <c r="J152" s="78"/>
      <c r="K152" s="67"/>
    </row>
    <row r="153" spans="9:11" ht="15" x14ac:dyDescent="0.2">
      <c r="I153" s="75" t="s">
        <v>615</v>
      </c>
      <c r="J153" s="78"/>
      <c r="K153" s="67"/>
    </row>
    <row r="154" spans="9:11" ht="30" x14ac:dyDescent="0.2">
      <c r="I154" s="75" t="s">
        <v>616</v>
      </c>
      <c r="J154" s="78"/>
      <c r="K154" s="67"/>
    </row>
    <row r="155" spans="9:11" ht="15" x14ac:dyDescent="0.2">
      <c r="I155" s="75" t="s">
        <v>189</v>
      </c>
      <c r="J155" s="78"/>
      <c r="K155" s="67"/>
    </row>
    <row r="156" spans="9:11" ht="30" x14ac:dyDescent="0.2">
      <c r="I156" s="75" t="s">
        <v>192</v>
      </c>
      <c r="J156" s="78"/>
      <c r="K156" s="67"/>
    </row>
    <row r="157" spans="9:11" ht="15" x14ac:dyDescent="0.2">
      <c r="I157" s="75" t="s">
        <v>617</v>
      </c>
      <c r="J157" s="78"/>
      <c r="K157" s="67"/>
    </row>
    <row r="158" spans="9:11" ht="15" x14ac:dyDescent="0.2">
      <c r="I158" s="75" t="s">
        <v>196</v>
      </c>
      <c r="J158" s="78"/>
      <c r="K158" s="67"/>
    </row>
    <row r="159" spans="9:11" ht="15" x14ac:dyDescent="0.2">
      <c r="I159" s="75" t="s">
        <v>618</v>
      </c>
      <c r="J159" s="78"/>
      <c r="K159" s="67"/>
    </row>
    <row r="160" spans="9:11" ht="15" x14ac:dyDescent="0.2">
      <c r="I160" s="75" t="s">
        <v>619</v>
      </c>
      <c r="J160" s="78"/>
      <c r="K160" s="67"/>
    </row>
    <row r="161" spans="9:11" ht="15" x14ac:dyDescent="0.2">
      <c r="I161" s="75" t="s">
        <v>620</v>
      </c>
      <c r="J161" s="78"/>
      <c r="K161" s="67"/>
    </row>
    <row r="162" spans="9:11" ht="15" x14ac:dyDescent="0.2">
      <c r="I162" s="75" t="s">
        <v>621</v>
      </c>
      <c r="J162" s="78"/>
      <c r="K162" s="67"/>
    </row>
    <row r="163" spans="9:11" ht="15" x14ac:dyDescent="0.2">
      <c r="I163" s="75" t="s">
        <v>622</v>
      </c>
      <c r="J163" s="78"/>
      <c r="K163" s="67"/>
    </row>
    <row r="164" spans="9:11" ht="30" x14ac:dyDescent="0.2">
      <c r="I164" s="75" t="s">
        <v>623</v>
      </c>
      <c r="J164" s="78"/>
      <c r="K164" s="67"/>
    </row>
    <row r="165" spans="9:11" ht="15" x14ac:dyDescent="0.2">
      <c r="I165" s="75" t="s">
        <v>624</v>
      </c>
      <c r="J165" s="78"/>
      <c r="K165" s="67"/>
    </row>
    <row r="166" spans="9:11" ht="15" x14ac:dyDescent="0.2">
      <c r="I166" s="75" t="s">
        <v>625</v>
      </c>
      <c r="J166" s="78"/>
      <c r="K166" s="67"/>
    </row>
    <row r="167" spans="9:11" ht="15" x14ac:dyDescent="0.2">
      <c r="I167" s="75" t="s">
        <v>626</v>
      </c>
      <c r="J167" s="78"/>
      <c r="K167" s="67"/>
    </row>
    <row r="168" spans="9:11" ht="30" x14ac:dyDescent="0.2">
      <c r="I168" s="75" t="s">
        <v>627</v>
      </c>
      <c r="J168" s="78"/>
      <c r="K168" s="67"/>
    </row>
    <row r="169" spans="9:11" ht="15" x14ac:dyDescent="0.2">
      <c r="I169" s="75" t="s">
        <v>628</v>
      </c>
      <c r="J169" s="78"/>
      <c r="K169" s="67"/>
    </row>
    <row r="170" spans="9:11" ht="15" x14ac:dyDescent="0.2">
      <c r="I170" s="75" t="s">
        <v>199</v>
      </c>
      <c r="J170" s="78"/>
      <c r="K170" s="67"/>
    </row>
    <row r="171" spans="9:11" ht="15" x14ac:dyDescent="0.2">
      <c r="I171" s="75" t="s">
        <v>629</v>
      </c>
      <c r="J171" s="78"/>
      <c r="K171" s="67"/>
    </row>
    <row r="172" spans="9:11" ht="15" x14ac:dyDescent="0.2">
      <c r="I172" s="75" t="s">
        <v>630</v>
      </c>
      <c r="J172" s="78"/>
      <c r="K172" s="67"/>
    </row>
    <row r="173" spans="9:11" ht="30" x14ac:dyDescent="0.2">
      <c r="I173" s="75" t="s">
        <v>631</v>
      </c>
      <c r="J173" s="78"/>
      <c r="K173" s="67"/>
    </row>
    <row r="174" spans="9:11" ht="15" x14ac:dyDescent="0.2">
      <c r="I174" s="75" t="s">
        <v>201</v>
      </c>
      <c r="J174" s="78"/>
      <c r="K174" s="67"/>
    </row>
    <row r="175" spans="9:11" ht="30" x14ac:dyDescent="0.2">
      <c r="I175" s="75" t="s">
        <v>632</v>
      </c>
      <c r="J175" s="78"/>
      <c r="K175" s="67"/>
    </row>
    <row r="176" spans="9:11" ht="15" x14ac:dyDescent="0.2">
      <c r="I176" s="75" t="s">
        <v>633</v>
      </c>
      <c r="J176" s="78"/>
      <c r="K176" s="67"/>
    </row>
    <row r="177" spans="9:11" ht="30" x14ac:dyDescent="0.2">
      <c r="I177" s="75" t="s">
        <v>204</v>
      </c>
      <c r="J177" s="78"/>
      <c r="K177" s="67"/>
    </row>
    <row r="178" spans="9:11" ht="30" x14ac:dyDescent="0.2">
      <c r="I178" s="75" t="s">
        <v>634</v>
      </c>
      <c r="J178" s="78"/>
      <c r="K178" s="67"/>
    </row>
    <row r="179" spans="9:11" ht="30" x14ac:dyDescent="0.2">
      <c r="I179" s="75" t="s">
        <v>65</v>
      </c>
      <c r="J179" s="78"/>
      <c r="K179" s="67"/>
    </row>
    <row r="180" spans="9:11" ht="15" x14ac:dyDescent="0.2">
      <c r="I180" s="75" t="s">
        <v>635</v>
      </c>
      <c r="J180" s="78"/>
      <c r="K180" s="67"/>
    </row>
    <row r="181" spans="9:11" ht="15" x14ac:dyDescent="0.2">
      <c r="I181" s="75" t="s">
        <v>636</v>
      </c>
      <c r="J181" s="78"/>
      <c r="K181" s="67"/>
    </row>
    <row r="182" spans="9:11" ht="15" x14ac:dyDescent="0.2">
      <c r="I182" s="75" t="s">
        <v>637</v>
      </c>
      <c r="J182" s="78"/>
      <c r="K182" s="67"/>
    </row>
    <row r="183" spans="9:11" ht="15" x14ac:dyDescent="0.2">
      <c r="I183" s="75" t="s">
        <v>207</v>
      </c>
      <c r="J183" s="78"/>
      <c r="K183" s="67"/>
    </row>
    <row r="184" spans="9:11" ht="15" x14ac:dyDescent="0.2">
      <c r="I184" s="75" t="s">
        <v>638</v>
      </c>
      <c r="J184" s="78"/>
      <c r="K184" s="67"/>
    </row>
    <row r="185" spans="9:11" ht="15" x14ac:dyDescent="0.2">
      <c r="I185" s="75" t="s">
        <v>639</v>
      </c>
      <c r="J185" s="78"/>
      <c r="K185" s="67"/>
    </row>
    <row r="186" spans="9:11" ht="30" x14ac:dyDescent="0.2">
      <c r="I186" s="75" t="s">
        <v>640</v>
      </c>
      <c r="J186" s="78"/>
      <c r="K186" s="67"/>
    </row>
    <row r="187" spans="9:11" ht="30" x14ac:dyDescent="0.2">
      <c r="I187" s="75" t="s">
        <v>641</v>
      </c>
      <c r="J187" s="78"/>
      <c r="K187" s="67"/>
    </row>
    <row r="188" spans="9:11" ht="15" x14ac:dyDescent="0.2">
      <c r="I188" s="75" t="s">
        <v>70</v>
      </c>
      <c r="J188" s="78"/>
      <c r="K188" s="67"/>
    </row>
    <row r="189" spans="9:11" ht="15" x14ac:dyDescent="0.2">
      <c r="I189" s="75" t="s">
        <v>210</v>
      </c>
      <c r="J189" s="78"/>
      <c r="K189" s="67"/>
    </row>
    <row r="190" spans="9:11" ht="15" x14ac:dyDescent="0.2">
      <c r="I190" s="75" t="s">
        <v>642</v>
      </c>
      <c r="J190" s="78"/>
      <c r="K190" s="67"/>
    </row>
    <row r="191" spans="9:11" ht="15" x14ac:dyDescent="0.2">
      <c r="I191" s="75" t="s">
        <v>643</v>
      </c>
      <c r="J191" s="78"/>
      <c r="K191" s="67"/>
    </row>
    <row r="192" spans="9:11" ht="15" x14ac:dyDescent="0.2">
      <c r="I192" s="75" t="s">
        <v>644</v>
      </c>
      <c r="J192" s="78"/>
      <c r="K192" s="67"/>
    </row>
    <row r="193" spans="9:11" ht="15" x14ac:dyDescent="0.2">
      <c r="I193" s="75" t="s">
        <v>645</v>
      </c>
      <c r="J193" s="78"/>
      <c r="K193" s="67"/>
    </row>
    <row r="194" spans="9:11" ht="15" x14ac:dyDescent="0.2">
      <c r="I194" s="75" t="s">
        <v>58</v>
      </c>
      <c r="J194" s="78"/>
      <c r="K194" s="67"/>
    </row>
    <row r="195" spans="9:11" ht="15" x14ac:dyDescent="0.2">
      <c r="I195" s="75" t="s">
        <v>646</v>
      </c>
      <c r="J195" s="78"/>
      <c r="K195" s="67"/>
    </row>
    <row r="196" spans="9:11" ht="15" x14ac:dyDescent="0.2">
      <c r="I196" s="75" t="s">
        <v>647</v>
      </c>
      <c r="J196" s="78"/>
      <c r="K196" s="67"/>
    </row>
    <row r="197" spans="9:11" ht="15" x14ac:dyDescent="0.2">
      <c r="I197" s="75" t="s">
        <v>215</v>
      </c>
      <c r="J197" s="78"/>
      <c r="K197" s="67"/>
    </row>
    <row r="198" spans="9:11" ht="30" x14ac:dyDescent="0.2">
      <c r="I198" s="75" t="s">
        <v>648</v>
      </c>
      <c r="J198" s="78"/>
      <c r="K198" s="67"/>
    </row>
    <row r="199" spans="9:11" ht="15" x14ac:dyDescent="0.2">
      <c r="I199" s="75" t="s">
        <v>218</v>
      </c>
      <c r="J199" s="78"/>
      <c r="K199" s="67"/>
    </row>
    <row r="200" spans="9:11" ht="15" x14ac:dyDescent="0.2">
      <c r="I200" s="75" t="s">
        <v>649</v>
      </c>
      <c r="J200" s="78"/>
      <c r="K200" s="67"/>
    </row>
    <row r="201" spans="9:11" ht="15" x14ac:dyDescent="0.2">
      <c r="I201" s="75" t="s">
        <v>650</v>
      </c>
      <c r="J201" s="78"/>
      <c r="K201" s="67"/>
    </row>
    <row r="202" spans="9:11" ht="30" x14ac:dyDescent="0.2">
      <c r="I202" s="75" t="s">
        <v>651</v>
      </c>
      <c r="J202" s="78"/>
      <c r="K202" s="67"/>
    </row>
    <row r="203" spans="9:11" ht="15" x14ac:dyDescent="0.2">
      <c r="I203" s="75" t="s">
        <v>221</v>
      </c>
      <c r="J203" s="78"/>
      <c r="K203" s="67"/>
    </row>
    <row r="204" spans="9:11" ht="15" x14ac:dyDescent="0.2">
      <c r="I204" s="75" t="s">
        <v>223</v>
      </c>
      <c r="J204" s="78"/>
      <c r="K204" s="67"/>
    </row>
    <row r="205" spans="9:11" ht="15" x14ac:dyDescent="0.2">
      <c r="I205" s="75" t="s">
        <v>652</v>
      </c>
      <c r="J205" s="78"/>
      <c r="K205" s="67"/>
    </row>
    <row r="206" spans="9:11" ht="15" x14ac:dyDescent="0.2">
      <c r="I206" s="75" t="s">
        <v>226</v>
      </c>
      <c r="J206" s="78"/>
      <c r="K206" s="67"/>
    </row>
    <row r="207" spans="9:11" ht="45" x14ac:dyDescent="0.2">
      <c r="I207" s="75" t="s">
        <v>653</v>
      </c>
      <c r="J207" s="78"/>
      <c r="K207" s="67"/>
    </row>
    <row r="208" spans="9:11" ht="30" x14ac:dyDescent="0.2">
      <c r="I208" s="75" t="s">
        <v>654</v>
      </c>
      <c r="J208" s="78"/>
      <c r="K208" s="67"/>
    </row>
    <row r="209" spans="9:11" ht="30" x14ac:dyDescent="0.2">
      <c r="I209" s="75" t="s">
        <v>655</v>
      </c>
      <c r="J209" s="78"/>
      <c r="K209" s="67"/>
    </row>
    <row r="210" spans="9:11" ht="30" x14ac:dyDescent="0.2">
      <c r="I210" s="75" t="s">
        <v>656</v>
      </c>
      <c r="J210" s="78"/>
      <c r="K210" s="67"/>
    </row>
    <row r="211" spans="9:11" ht="15" x14ac:dyDescent="0.2">
      <c r="I211" s="75" t="s">
        <v>657</v>
      </c>
      <c r="J211" s="78"/>
      <c r="K211" s="67"/>
    </row>
    <row r="212" spans="9:11" ht="30" x14ac:dyDescent="0.2">
      <c r="I212" s="75" t="s">
        <v>658</v>
      </c>
      <c r="J212" s="78"/>
      <c r="K212" s="67"/>
    </row>
    <row r="213" spans="9:11" ht="45" x14ac:dyDescent="0.2">
      <c r="I213" s="75" t="s">
        <v>659</v>
      </c>
      <c r="J213" s="78"/>
      <c r="K213" s="67"/>
    </row>
    <row r="214" spans="9:11" ht="30" x14ac:dyDescent="0.2">
      <c r="I214" s="75" t="s">
        <v>660</v>
      </c>
      <c r="J214" s="78"/>
      <c r="K214" s="67"/>
    </row>
    <row r="215" spans="9:11" ht="30" x14ac:dyDescent="0.2">
      <c r="I215" s="75" t="s">
        <v>661</v>
      </c>
      <c r="J215" s="78"/>
      <c r="K215" s="67"/>
    </row>
    <row r="216" spans="9:11" ht="45" x14ac:dyDescent="0.2">
      <c r="I216" s="75" t="s">
        <v>662</v>
      </c>
      <c r="J216" s="78"/>
      <c r="K216" s="67"/>
    </row>
    <row r="217" spans="9:11" ht="45" x14ac:dyDescent="0.2">
      <c r="I217" s="75" t="s">
        <v>663</v>
      </c>
      <c r="J217" s="78"/>
      <c r="K217" s="67"/>
    </row>
    <row r="218" spans="9:11" ht="45" x14ac:dyDescent="0.2">
      <c r="I218" s="75" t="s">
        <v>664</v>
      </c>
      <c r="J218" s="78"/>
      <c r="K218" s="67"/>
    </row>
    <row r="219" spans="9:11" ht="45" x14ac:dyDescent="0.2">
      <c r="I219" s="75" t="s">
        <v>665</v>
      </c>
      <c r="J219" s="78"/>
      <c r="K219" s="67"/>
    </row>
    <row r="220" spans="9:11" ht="30" x14ac:dyDescent="0.2">
      <c r="I220" s="75" t="s">
        <v>229</v>
      </c>
      <c r="J220" s="78"/>
      <c r="K220" s="67"/>
    </row>
    <row r="221" spans="9:11" ht="30" x14ac:dyDescent="0.2">
      <c r="I221" s="75" t="s">
        <v>666</v>
      </c>
      <c r="J221" s="78"/>
      <c r="K221" s="67"/>
    </row>
    <row r="222" spans="9:11" ht="30" x14ac:dyDescent="0.2">
      <c r="I222" s="75" t="s">
        <v>667</v>
      </c>
      <c r="J222" s="78"/>
      <c r="K222" s="67"/>
    </row>
    <row r="223" spans="9:11" ht="30" x14ac:dyDescent="0.2">
      <c r="I223" s="75" t="s">
        <v>668</v>
      </c>
      <c r="J223" s="78"/>
      <c r="K223" s="67"/>
    </row>
    <row r="224" spans="9:11" ht="45" x14ac:dyDescent="0.2">
      <c r="I224" s="75" t="s">
        <v>232</v>
      </c>
      <c r="J224" s="78"/>
      <c r="K224" s="67"/>
    </row>
    <row r="225" spans="9:11" ht="30" x14ac:dyDescent="0.2">
      <c r="I225" s="75" t="s">
        <v>669</v>
      </c>
      <c r="J225" s="78"/>
      <c r="K225" s="67"/>
    </row>
    <row r="226" spans="9:11" ht="30" x14ac:dyDescent="0.2">
      <c r="I226" s="75" t="s">
        <v>670</v>
      </c>
      <c r="J226" s="78"/>
      <c r="K226" s="67"/>
    </row>
    <row r="227" spans="9:11" ht="45" x14ac:dyDescent="0.2">
      <c r="I227" s="75" t="s">
        <v>671</v>
      </c>
      <c r="J227" s="78"/>
      <c r="K227" s="67"/>
    </row>
    <row r="228" spans="9:11" ht="15" x14ac:dyDescent="0.2">
      <c r="I228" s="75" t="s">
        <v>672</v>
      </c>
      <c r="J228" s="78"/>
      <c r="K228" s="67"/>
    </row>
    <row r="229" spans="9:11" ht="15" x14ac:dyDescent="0.2">
      <c r="I229" s="75" t="s">
        <v>673</v>
      </c>
      <c r="J229" s="78"/>
      <c r="K229" s="67"/>
    </row>
    <row r="230" spans="9:11" ht="30" x14ac:dyDescent="0.2">
      <c r="I230" s="75" t="s">
        <v>674</v>
      </c>
      <c r="J230" s="78"/>
      <c r="K230" s="67"/>
    </row>
    <row r="231" spans="9:11" ht="15" x14ac:dyDescent="0.2">
      <c r="I231" s="75" t="s">
        <v>675</v>
      </c>
      <c r="J231" s="78"/>
      <c r="K231" s="67"/>
    </row>
    <row r="232" spans="9:11" ht="15" x14ac:dyDescent="0.2">
      <c r="I232" s="75" t="s">
        <v>235</v>
      </c>
      <c r="J232" s="78"/>
      <c r="K232" s="67"/>
    </row>
    <row r="233" spans="9:11" ht="15" x14ac:dyDescent="0.2">
      <c r="I233" s="75" t="s">
        <v>676</v>
      </c>
      <c r="J233" s="78"/>
      <c r="K233" s="67"/>
    </row>
    <row r="234" spans="9:11" ht="30" x14ac:dyDescent="0.2">
      <c r="I234" s="75" t="s">
        <v>677</v>
      </c>
      <c r="J234" s="78"/>
      <c r="K234" s="67"/>
    </row>
    <row r="235" spans="9:11" ht="30" x14ac:dyDescent="0.2">
      <c r="I235" s="75" t="s">
        <v>678</v>
      </c>
      <c r="J235" s="78"/>
      <c r="K235" s="67"/>
    </row>
    <row r="236" spans="9:11" ht="30" x14ac:dyDescent="0.2">
      <c r="I236" s="75" t="s">
        <v>679</v>
      </c>
      <c r="J236" s="78"/>
      <c r="K236" s="67"/>
    </row>
    <row r="237" spans="9:11" ht="30" x14ac:dyDescent="0.2">
      <c r="I237" s="75" t="s">
        <v>680</v>
      </c>
      <c r="J237" s="78"/>
      <c r="K237" s="67"/>
    </row>
    <row r="238" spans="9:11" ht="15" x14ac:dyDescent="0.2">
      <c r="I238" s="75" t="s">
        <v>681</v>
      </c>
      <c r="J238" s="78"/>
      <c r="K238" s="67"/>
    </row>
    <row r="239" spans="9:11" ht="15" x14ac:dyDescent="0.2">
      <c r="I239" s="75" t="s">
        <v>238</v>
      </c>
      <c r="J239" s="78"/>
      <c r="K239" s="67"/>
    </row>
    <row r="240" spans="9:11" ht="15" x14ac:dyDescent="0.2">
      <c r="I240" s="75" t="s">
        <v>682</v>
      </c>
      <c r="J240" s="78"/>
      <c r="K240" s="67"/>
    </row>
    <row r="241" spans="9:11" ht="15" x14ac:dyDescent="0.2">
      <c r="I241" s="75" t="s">
        <v>683</v>
      </c>
      <c r="J241" s="78"/>
      <c r="K241" s="67"/>
    </row>
    <row r="242" spans="9:11" ht="15" x14ac:dyDescent="0.2">
      <c r="I242" s="75" t="s">
        <v>684</v>
      </c>
      <c r="J242" s="78"/>
      <c r="K242" s="67"/>
    </row>
    <row r="243" spans="9:11" ht="15" x14ac:dyDescent="0.2">
      <c r="I243" s="75" t="s">
        <v>685</v>
      </c>
      <c r="J243" s="78"/>
      <c r="K243" s="67"/>
    </row>
    <row r="244" spans="9:11" ht="15" x14ac:dyDescent="0.2">
      <c r="I244" s="75" t="s">
        <v>243</v>
      </c>
      <c r="J244" s="78"/>
      <c r="K244" s="67"/>
    </row>
    <row r="245" spans="9:11" ht="15" x14ac:dyDescent="0.2">
      <c r="I245" s="75" t="s">
        <v>240</v>
      </c>
      <c r="J245" s="78"/>
      <c r="K245" s="67"/>
    </row>
    <row r="246" spans="9:11" ht="15" x14ac:dyDescent="0.2">
      <c r="I246" s="75" t="s">
        <v>686</v>
      </c>
      <c r="J246" s="78"/>
      <c r="K246" s="67"/>
    </row>
    <row r="247" spans="9:11" ht="30" x14ac:dyDescent="0.2">
      <c r="I247" s="75" t="s">
        <v>687</v>
      </c>
      <c r="J247" s="78"/>
      <c r="K247" s="67"/>
    </row>
    <row r="248" spans="9:11" ht="15" x14ac:dyDescent="0.2">
      <c r="I248" s="75" t="s">
        <v>688</v>
      </c>
      <c r="J248" s="78"/>
      <c r="K248" s="67"/>
    </row>
    <row r="249" spans="9:11" ht="15" x14ac:dyDescent="0.2">
      <c r="I249" s="75" t="s">
        <v>246</v>
      </c>
      <c r="J249" s="78"/>
      <c r="K249" s="67"/>
    </row>
    <row r="250" spans="9:11" ht="30" x14ac:dyDescent="0.2">
      <c r="I250" s="75" t="s">
        <v>689</v>
      </c>
      <c r="J250" s="78"/>
      <c r="K250" s="67"/>
    </row>
    <row r="251" spans="9:11" ht="15" x14ac:dyDescent="0.2">
      <c r="I251" s="75" t="s">
        <v>690</v>
      </c>
      <c r="J251" s="78"/>
      <c r="K251" s="67"/>
    </row>
    <row r="252" spans="9:11" ht="15" x14ac:dyDescent="0.2">
      <c r="I252" s="75" t="s">
        <v>691</v>
      </c>
      <c r="J252" s="78"/>
      <c r="K252" s="67"/>
    </row>
    <row r="253" spans="9:11" ht="14.25" x14ac:dyDescent="0.2">
      <c r="I253" s="67"/>
      <c r="J253" s="67"/>
      <c r="K253" s="67"/>
    </row>
    <row r="254" spans="9:11" ht="14.25" x14ac:dyDescent="0.2">
      <c r="I254" s="67"/>
      <c r="J254" s="67"/>
      <c r="K254" s="67"/>
    </row>
  </sheetData>
  <mergeCells count="1">
    <mergeCell ref="A4:A5"/>
  </mergeCells>
  <hyperlinks>
    <hyperlink ref="A1" location="gid=0" display="https://docs.google.com/spreadsheets/d/1zwtmvbEVCGELYcqtI3O8G3JVCSb0rXTuxCizsqFeKmM/edit#gid=0" xr:uid="{00000000-0004-0000-0A00-000000000000}"/>
  </hyperlinks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00"/>
  </sheetPr>
  <dimension ref="A1:F1000"/>
  <sheetViews>
    <sheetView zoomScale="140" zoomScaleNormal="140" workbookViewId="0"/>
  </sheetViews>
  <sheetFormatPr defaultColWidth="12.85546875" defaultRowHeight="12.75" x14ac:dyDescent="0.2"/>
  <cols>
    <col min="1" max="1" width="22.42578125" customWidth="1"/>
    <col min="3" max="3" width="21.7109375" customWidth="1"/>
    <col min="4" max="4" width="22.85546875" customWidth="1"/>
    <col min="5" max="5" width="18.7109375" customWidth="1"/>
    <col min="6" max="6" width="21.7109375" customWidth="1"/>
  </cols>
  <sheetData>
    <row r="1" spans="1:6" ht="30" customHeight="1" x14ac:dyDescent="0.2">
      <c r="A1" s="7" t="str">
        <f ca="1">IFERROR(__xludf.dummyfunction("QUERY(IMPORTRANGE(APOIO!A1,""Sintética2021!A1:F135""), CONCATENATE(""SELECT * WHERE Col1="", ""'"",APOIO!A2,""'""))"),"Orgão")</f>
        <v>Orgão</v>
      </c>
      <c r="B1" s="7" t="str">
        <f ca="1">IFERROR(__xludf.dummyfunction("""COMPUTED_VALUE"""),"Orgão (Código)")</f>
        <v>Orgão (Código)</v>
      </c>
      <c r="C1" s="7" t="str">
        <f ca="1">IFERROR(__xludf.dummyfunction("""COMPUTED_VALUE"""),"Conta Patrimonial")</f>
        <v>Conta Patrimonial</v>
      </c>
      <c r="D1" s="7" t="str">
        <f ca="1">IFERROR(__xludf.dummyfunction("""COMPUTED_VALUE"""),"Descrição da Conta")</f>
        <v>Descrição da Conta</v>
      </c>
      <c r="E1" s="7" t="str">
        <f ca="1">IFERROR(__xludf.dummyfunction("""COMPUTED_VALUE"""),"SALDO 2020")</f>
        <v>SALDO 2020</v>
      </c>
      <c r="F1" s="7" t="str">
        <f ca="1">IFERROR(__xludf.dummyfunction("""COMPUTED_VALUE"""),"SALDO 2021")</f>
        <v>SALDO 2021</v>
      </c>
    </row>
    <row r="2" spans="1:6" ht="14.25" x14ac:dyDescent="0.2">
      <c r="A2" s="53" t="str">
        <f ca="1">IFERROR(__xludf.dummyfunction("""COMPUTED_VALUE"""),"EMATER")</f>
        <v>EMATER</v>
      </c>
      <c r="B2" s="53">
        <f ca="1">IFERROR(__xludf.dummyfunction("""COMPUTED_VALUE"""),3262)</f>
        <v>3262</v>
      </c>
      <c r="C2" s="53" t="str">
        <f ca="1">IFERROR(__xludf.dummyfunction("""COMPUTED_VALUE"""),"1.2.3.2.1.01.04.01.00")</f>
        <v>1.2.3.2.1.01.04.01.00</v>
      </c>
      <c r="D2" s="53" t="str">
        <f ca="1">IFERROR(__xludf.dummyfunction("""COMPUTED_VALUE"""),"TERRENOS")</f>
        <v>TERRENOS</v>
      </c>
      <c r="E2" s="38"/>
      <c r="F2" s="38">
        <f ca="1">IFERROR(__xludf.dummyfunction("""COMPUTED_VALUE"""),3261.8)</f>
        <v>3261.8</v>
      </c>
    </row>
    <row r="3" spans="1:6" ht="14.25" x14ac:dyDescent="0.2">
      <c r="A3" s="53" t="str">
        <f ca="1">IFERROR(__xludf.dummyfunction("""COMPUTED_VALUE"""),"EMATER")</f>
        <v>EMATER</v>
      </c>
      <c r="B3" s="53">
        <f ca="1">IFERROR(__xludf.dummyfunction("""COMPUTED_VALUE"""),3262)</f>
        <v>3262</v>
      </c>
      <c r="C3" s="53" t="str">
        <f ca="1">IFERROR(__xludf.dummyfunction("""COMPUTED_VALUE"""),"1.2.3.2.1.01.98.09.00")</f>
        <v>1.2.3.2.1.01.98.09.00</v>
      </c>
      <c r="D3" s="53" t="str">
        <f ca="1">IFERROR(__xludf.dummyfunction("""COMPUTED_VALUE"""),"OUTRAS EDIFICAÇÕES")</f>
        <v>OUTRAS EDIFICAÇÕES</v>
      </c>
      <c r="E3" s="38">
        <f ca="1">IFERROR(__xludf.dummyfunction("""COMPUTED_VALUE"""),26553422.85)</f>
        <v>26553422.850000001</v>
      </c>
      <c r="F3" s="38">
        <f ca="1">IFERROR(__xludf.dummyfunction("""COMPUTED_VALUE"""),5470280.42)</f>
        <v>5470280.4199999999</v>
      </c>
    </row>
    <row r="4" spans="1:6" ht="14.25" x14ac:dyDescent="0.2">
      <c r="A4" s="53" t="str">
        <f ca="1">IFERROR(__xludf.dummyfunction("""COMPUTED_VALUE"""),"EMATER")</f>
        <v>EMATER</v>
      </c>
      <c r="B4" s="53">
        <f ca="1">IFERROR(__xludf.dummyfunction("""COMPUTED_VALUE"""),3262)</f>
        <v>3262</v>
      </c>
      <c r="C4" s="53" t="str">
        <f ca="1">IFERROR(__xludf.dummyfunction("""COMPUTED_VALUE"""),"1.2.3.2.1.01.98.10.00")</f>
        <v>1.2.3.2.1.01.98.10.00</v>
      </c>
      <c r="D4" s="53" t="str">
        <f ca="1">IFERROR(__xludf.dummyfunction("""COMPUTED_VALUE"""),"OUTROS BENS IMÓVEIS")</f>
        <v>OUTROS BENS IMÓVEIS</v>
      </c>
      <c r="E4" s="38">
        <f ca="1">IFERROR(__xludf.dummyfunction("""COMPUTED_VALUE"""),559462.08)</f>
        <v>559462.07999999996</v>
      </c>
      <c r="F4" s="38">
        <f ca="1">IFERROR(__xludf.dummyfunction("""COMPUTED_VALUE"""),44042349.94)</f>
        <v>44042349.939999998</v>
      </c>
    </row>
    <row r="5" spans="1:6" ht="14.25" x14ac:dyDescent="0.2">
      <c r="A5" s="53"/>
      <c r="B5" s="53"/>
      <c r="C5" s="53"/>
      <c r="D5" s="53"/>
      <c r="E5" s="77"/>
      <c r="F5" s="77"/>
    </row>
    <row r="6" spans="1:6" ht="14.25" x14ac:dyDescent="0.2">
      <c r="A6" s="76"/>
      <c r="B6" s="76"/>
      <c r="C6" s="76"/>
      <c r="D6" s="76"/>
    </row>
    <row r="7" spans="1:6" ht="14.25" x14ac:dyDescent="0.2">
      <c r="A7" s="76"/>
      <c r="B7" s="76"/>
      <c r="C7" s="76"/>
      <c r="D7" s="76"/>
    </row>
    <row r="8" spans="1:6" ht="14.25" x14ac:dyDescent="0.2">
      <c r="A8" s="76"/>
      <c r="B8" s="76"/>
      <c r="C8" s="76"/>
      <c r="D8" s="76"/>
    </row>
    <row r="9" spans="1:6" ht="14.25" x14ac:dyDescent="0.2">
      <c r="A9" s="76"/>
      <c r="B9" s="76"/>
      <c r="C9" s="76"/>
      <c r="D9" s="76"/>
    </row>
    <row r="10" spans="1:6" ht="14.25" x14ac:dyDescent="0.2">
      <c r="A10" s="76"/>
      <c r="B10" s="76"/>
      <c r="C10" s="76"/>
      <c r="D10" s="76"/>
    </row>
    <row r="11" spans="1:6" ht="14.25" x14ac:dyDescent="0.2">
      <c r="A11" s="76"/>
      <c r="B11" s="76"/>
      <c r="C11" s="76"/>
      <c r="D11" s="76"/>
    </row>
    <row r="12" spans="1:6" ht="14.25" x14ac:dyDescent="0.2">
      <c r="A12" s="76"/>
      <c r="B12" s="76"/>
      <c r="C12" s="76"/>
      <c r="D12" s="76"/>
    </row>
    <row r="13" spans="1:6" ht="14.25" x14ac:dyDescent="0.2">
      <c r="A13" s="76"/>
      <c r="B13" s="76"/>
      <c r="C13" s="76"/>
      <c r="D13" s="76"/>
    </row>
    <row r="14" spans="1:6" ht="14.25" x14ac:dyDescent="0.2">
      <c r="A14" s="76"/>
      <c r="B14" s="76"/>
      <c r="C14" s="76"/>
      <c r="D14" s="76"/>
    </row>
    <row r="15" spans="1:6" ht="14.25" x14ac:dyDescent="0.2">
      <c r="A15" s="76"/>
      <c r="B15" s="76"/>
      <c r="C15" s="76"/>
      <c r="D15" s="76"/>
    </row>
    <row r="16" spans="1:6" ht="14.25" x14ac:dyDescent="0.2">
      <c r="A16" s="76"/>
      <c r="B16" s="76"/>
      <c r="C16" s="76"/>
      <c r="D16" s="76"/>
    </row>
    <row r="17" spans="1:4" ht="14.25" x14ac:dyDescent="0.2">
      <c r="A17" s="76"/>
      <c r="B17" s="76"/>
      <c r="C17" s="76"/>
      <c r="D17" s="76"/>
    </row>
    <row r="18" spans="1:4" ht="14.25" x14ac:dyDescent="0.2">
      <c r="A18" s="76"/>
      <c r="B18" s="76"/>
      <c r="C18" s="76"/>
      <c r="D18" s="76"/>
    </row>
    <row r="19" spans="1:4" ht="14.25" x14ac:dyDescent="0.2">
      <c r="A19" s="76"/>
      <c r="B19" s="76"/>
      <c r="C19" s="76"/>
      <c r="D19" s="76"/>
    </row>
    <row r="20" spans="1:4" ht="14.25" x14ac:dyDescent="0.2">
      <c r="A20" s="76"/>
      <c r="B20" s="76"/>
      <c r="C20" s="76"/>
      <c r="D20" s="76"/>
    </row>
    <row r="21" spans="1:4" ht="14.25" x14ac:dyDescent="0.2">
      <c r="A21" s="76"/>
      <c r="B21" s="76"/>
      <c r="C21" s="76"/>
      <c r="D21" s="76"/>
    </row>
    <row r="22" spans="1:4" ht="14.25" x14ac:dyDescent="0.2">
      <c r="A22" s="76"/>
      <c r="B22" s="76"/>
      <c r="C22" s="76"/>
      <c r="D22" s="76"/>
    </row>
    <row r="23" spans="1:4" ht="14.25" x14ac:dyDescent="0.2">
      <c r="A23" s="76"/>
      <c r="B23" s="76"/>
      <c r="C23" s="76"/>
      <c r="D23" s="76"/>
    </row>
    <row r="24" spans="1:4" ht="14.25" x14ac:dyDescent="0.2">
      <c r="A24" s="76"/>
      <c r="B24" s="76"/>
      <c r="C24" s="76"/>
      <c r="D24" s="76"/>
    </row>
    <row r="25" spans="1:4" ht="14.25" x14ac:dyDescent="0.2">
      <c r="A25" s="76"/>
      <c r="B25" s="76"/>
      <c r="C25" s="76"/>
      <c r="D25" s="76"/>
    </row>
    <row r="26" spans="1:4" ht="14.25" x14ac:dyDescent="0.2">
      <c r="A26" s="76"/>
      <c r="B26" s="76"/>
      <c r="C26" s="76"/>
      <c r="D26" s="76"/>
    </row>
    <row r="27" spans="1:4" ht="14.25" x14ac:dyDescent="0.2">
      <c r="A27" s="76"/>
      <c r="B27" s="76"/>
      <c r="C27" s="76"/>
      <c r="D27" s="76"/>
    </row>
    <row r="28" spans="1:4" ht="14.25" x14ac:dyDescent="0.2">
      <c r="A28" s="76"/>
      <c r="B28" s="76"/>
      <c r="C28" s="76"/>
      <c r="D28" s="76"/>
    </row>
    <row r="29" spans="1:4" ht="14.25" x14ac:dyDescent="0.2">
      <c r="A29" s="76"/>
      <c r="B29" s="76"/>
      <c r="C29" s="76"/>
      <c r="D29" s="76"/>
    </row>
    <row r="30" spans="1:4" ht="14.25" x14ac:dyDescent="0.2">
      <c r="A30" s="76"/>
      <c r="B30" s="76"/>
      <c r="C30" s="76"/>
      <c r="D30" s="76"/>
    </row>
    <row r="31" spans="1:4" ht="14.25" x14ac:dyDescent="0.2">
      <c r="A31" s="76"/>
      <c r="B31" s="76"/>
      <c r="C31" s="76"/>
      <c r="D31" s="76"/>
    </row>
    <row r="32" spans="1:4" ht="14.25" x14ac:dyDescent="0.2">
      <c r="A32" s="76"/>
      <c r="B32" s="76"/>
      <c r="C32" s="76"/>
      <c r="D32" s="76"/>
    </row>
    <row r="33" spans="1:4" ht="14.25" x14ac:dyDescent="0.2">
      <c r="A33" s="76"/>
      <c r="B33" s="76"/>
      <c r="C33" s="76"/>
      <c r="D33" s="76"/>
    </row>
    <row r="34" spans="1:4" ht="14.25" x14ac:dyDescent="0.2">
      <c r="A34" s="76"/>
      <c r="B34" s="76"/>
      <c r="C34" s="76"/>
      <c r="D34" s="76"/>
    </row>
    <row r="35" spans="1:4" ht="14.25" x14ac:dyDescent="0.2">
      <c r="A35" s="76"/>
      <c r="B35" s="76"/>
      <c r="C35" s="76"/>
      <c r="D35" s="76"/>
    </row>
    <row r="36" spans="1:4" ht="14.25" x14ac:dyDescent="0.2">
      <c r="A36" s="76"/>
      <c r="B36" s="76"/>
      <c r="C36" s="76"/>
      <c r="D36" s="76"/>
    </row>
    <row r="37" spans="1:4" ht="14.25" x14ac:dyDescent="0.2">
      <c r="A37" s="76"/>
      <c r="B37" s="76"/>
      <c r="C37" s="76"/>
      <c r="D37" s="76"/>
    </row>
    <row r="38" spans="1:4" ht="14.25" x14ac:dyDescent="0.2">
      <c r="A38" s="76"/>
      <c r="B38" s="76"/>
      <c r="C38" s="76"/>
      <c r="D38" s="76"/>
    </row>
    <row r="39" spans="1:4" ht="14.25" x14ac:dyDescent="0.2">
      <c r="A39" s="76"/>
      <c r="B39" s="76"/>
      <c r="C39" s="76"/>
      <c r="D39" s="76"/>
    </row>
    <row r="40" spans="1:4" ht="14.25" x14ac:dyDescent="0.2">
      <c r="A40" s="76"/>
      <c r="B40" s="76"/>
      <c r="C40" s="76"/>
      <c r="D40" s="76"/>
    </row>
    <row r="41" spans="1:4" ht="14.25" x14ac:dyDescent="0.2">
      <c r="A41" s="76"/>
      <c r="B41" s="76"/>
      <c r="C41" s="76"/>
      <c r="D41" s="76"/>
    </row>
    <row r="42" spans="1:4" ht="14.25" x14ac:dyDescent="0.2">
      <c r="A42" s="76"/>
      <c r="B42" s="76"/>
      <c r="C42" s="76"/>
      <c r="D42" s="76"/>
    </row>
    <row r="43" spans="1:4" ht="14.25" x14ac:dyDescent="0.2">
      <c r="A43" s="76"/>
      <c r="B43" s="76"/>
      <c r="C43" s="76"/>
      <c r="D43" s="76"/>
    </row>
    <row r="44" spans="1:4" ht="14.25" x14ac:dyDescent="0.2">
      <c r="A44" s="76"/>
      <c r="B44" s="76"/>
      <c r="C44" s="76"/>
      <c r="D44" s="76"/>
    </row>
    <row r="45" spans="1:4" ht="14.25" x14ac:dyDescent="0.2">
      <c r="A45" s="76"/>
      <c r="B45" s="76"/>
      <c r="C45" s="76"/>
      <c r="D45" s="76"/>
    </row>
    <row r="46" spans="1:4" ht="14.25" x14ac:dyDescent="0.2">
      <c r="A46" s="76"/>
      <c r="B46" s="76"/>
      <c r="C46" s="76"/>
      <c r="D46" s="76"/>
    </row>
    <row r="47" spans="1:4" ht="14.25" x14ac:dyDescent="0.2">
      <c r="A47" s="76"/>
      <c r="B47" s="76"/>
      <c r="C47" s="76"/>
      <c r="D47" s="76"/>
    </row>
    <row r="48" spans="1:4" ht="14.25" x14ac:dyDescent="0.2">
      <c r="A48" s="76"/>
      <c r="B48" s="76"/>
      <c r="C48" s="76"/>
      <c r="D48" s="76"/>
    </row>
    <row r="49" spans="1:4" ht="14.25" x14ac:dyDescent="0.2">
      <c r="A49" s="76"/>
      <c r="B49" s="76"/>
      <c r="C49" s="76"/>
      <c r="D49" s="76"/>
    </row>
    <row r="50" spans="1:4" ht="14.25" x14ac:dyDescent="0.2">
      <c r="A50" s="76"/>
      <c r="B50" s="76"/>
      <c r="C50" s="76"/>
      <c r="D50" s="76"/>
    </row>
    <row r="51" spans="1:4" ht="14.25" x14ac:dyDescent="0.2">
      <c r="A51" s="76"/>
      <c r="B51" s="76"/>
      <c r="C51" s="76"/>
      <c r="D51" s="76"/>
    </row>
    <row r="52" spans="1:4" ht="14.25" x14ac:dyDescent="0.2">
      <c r="A52" s="76"/>
      <c r="B52" s="76"/>
      <c r="C52" s="76"/>
      <c r="D52" s="76"/>
    </row>
    <row r="53" spans="1:4" ht="14.25" x14ac:dyDescent="0.2">
      <c r="A53" s="76"/>
      <c r="B53" s="76"/>
      <c r="C53" s="76"/>
      <c r="D53" s="76"/>
    </row>
    <row r="54" spans="1:4" ht="14.25" x14ac:dyDescent="0.2">
      <c r="A54" s="76"/>
      <c r="B54" s="76"/>
      <c r="C54" s="76"/>
      <c r="D54" s="76"/>
    </row>
    <row r="55" spans="1:4" ht="14.25" x14ac:dyDescent="0.2">
      <c r="A55" s="76"/>
      <c r="B55" s="76"/>
      <c r="C55" s="76"/>
      <c r="D55" s="76"/>
    </row>
    <row r="56" spans="1:4" ht="14.25" x14ac:dyDescent="0.2">
      <c r="A56" s="76"/>
      <c r="B56" s="76"/>
      <c r="C56" s="76"/>
      <c r="D56" s="76"/>
    </row>
    <row r="57" spans="1:4" ht="14.25" x14ac:dyDescent="0.2">
      <c r="A57" s="76"/>
      <c r="B57" s="76"/>
      <c r="C57" s="76"/>
      <c r="D57" s="76"/>
    </row>
    <row r="58" spans="1:4" ht="14.25" x14ac:dyDescent="0.2">
      <c r="A58" s="76"/>
      <c r="B58" s="76"/>
      <c r="C58" s="76"/>
      <c r="D58" s="76"/>
    </row>
    <row r="59" spans="1:4" ht="14.25" x14ac:dyDescent="0.2">
      <c r="A59" s="76"/>
      <c r="B59" s="76"/>
      <c r="C59" s="76"/>
      <c r="D59" s="76"/>
    </row>
    <row r="60" spans="1:4" ht="14.25" x14ac:dyDescent="0.2">
      <c r="A60" s="76"/>
      <c r="B60" s="76"/>
      <c r="C60" s="76"/>
      <c r="D60" s="76"/>
    </row>
    <row r="61" spans="1:4" ht="14.25" x14ac:dyDescent="0.2">
      <c r="A61" s="76"/>
      <c r="B61" s="76"/>
      <c r="C61" s="76"/>
      <c r="D61" s="76"/>
    </row>
    <row r="62" spans="1:4" ht="14.25" x14ac:dyDescent="0.2">
      <c r="A62" s="76"/>
      <c r="B62" s="76"/>
      <c r="C62" s="76"/>
      <c r="D62" s="76"/>
    </row>
    <row r="63" spans="1:4" ht="14.25" x14ac:dyDescent="0.2">
      <c r="A63" s="76"/>
      <c r="B63" s="76"/>
      <c r="C63" s="76"/>
      <c r="D63" s="76"/>
    </row>
    <row r="64" spans="1:4" ht="14.25" x14ac:dyDescent="0.2">
      <c r="A64" s="76"/>
      <c r="B64" s="76"/>
      <c r="C64" s="76"/>
      <c r="D64" s="76"/>
    </row>
    <row r="65" spans="1:4" ht="14.25" x14ac:dyDescent="0.2">
      <c r="A65" s="76"/>
      <c r="B65" s="76"/>
      <c r="C65" s="76"/>
      <c r="D65" s="76"/>
    </row>
    <row r="66" spans="1:4" ht="14.25" x14ac:dyDescent="0.2">
      <c r="A66" s="76"/>
      <c r="B66" s="76"/>
      <c r="C66" s="76"/>
      <c r="D66" s="76"/>
    </row>
    <row r="67" spans="1:4" ht="14.25" x14ac:dyDescent="0.2">
      <c r="A67" s="76"/>
      <c r="B67" s="76"/>
      <c r="C67" s="76"/>
      <c r="D67" s="76"/>
    </row>
    <row r="68" spans="1:4" ht="14.25" x14ac:dyDescent="0.2">
      <c r="A68" s="76"/>
      <c r="B68" s="76"/>
      <c r="C68" s="76"/>
      <c r="D68" s="76"/>
    </row>
    <row r="69" spans="1:4" ht="14.25" x14ac:dyDescent="0.2">
      <c r="A69" s="76"/>
      <c r="B69" s="76"/>
      <c r="C69" s="76"/>
      <c r="D69" s="76"/>
    </row>
    <row r="70" spans="1:4" ht="14.25" x14ac:dyDescent="0.2">
      <c r="A70" s="76"/>
      <c r="B70" s="76"/>
      <c r="C70" s="76"/>
      <c r="D70" s="76"/>
    </row>
    <row r="71" spans="1:4" ht="14.25" x14ac:dyDescent="0.2">
      <c r="A71" s="76"/>
      <c r="B71" s="76"/>
      <c r="C71" s="76"/>
      <c r="D71" s="76"/>
    </row>
    <row r="72" spans="1:4" ht="14.25" x14ac:dyDescent="0.2">
      <c r="A72" s="76"/>
      <c r="B72" s="76"/>
      <c r="C72" s="76"/>
      <c r="D72" s="76"/>
    </row>
    <row r="73" spans="1:4" ht="14.25" x14ac:dyDescent="0.2">
      <c r="A73" s="76"/>
      <c r="B73" s="76"/>
      <c r="C73" s="76"/>
      <c r="D73" s="76"/>
    </row>
    <row r="74" spans="1:4" ht="14.25" x14ac:dyDescent="0.2">
      <c r="A74" s="76"/>
      <c r="B74" s="76"/>
      <c r="C74" s="76"/>
      <c r="D74" s="76"/>
    </row>
    <row r="75" spans="1:4" ht="14.25" x14ac:dyDescent="0.2">
      <c r="A75" s="76"/>
      <c r="B75" s="76"/>
      <c r="C75" s="76"/>
      <c r="D75" s="76"/>
    </row>
    <row r="76" spans="1:4" ht="14.25" x14ac:dyDescent="0.2">
      <c r="A76" s="76"/>
      <c r="B76" s="76"/>
      <c r="C76" s="76"/>
      <c r="D76" s="76"/>
    </row>
    <row r="77" spans="1:4" ht="14.25" x14ac:dyDescent="0.2">
      <c r="A77" s="76"/>
      <c r="B77" s="76"/>
      <c r="C77" s="76"/>
      <c r="D77" s="76"/>
    </row>
    <row r="78" spans="1:4" ht="14.25" x14ac:dyDescent="0.2">
      <c r="A78" s="76"/>
      <c r="B78" s="76"/>
      <c r="C78" s="76"/>
      <c r="D78" s="76"/>
    </row>
    <row r="79" spans="1:4" ht="14.25" x14ac:dyDescent="0.2">
      <c r="A79" s="76"/>
      <c r="B79" s="76"/>
      <c r="C79" s="76"/>
      <c r="D79" s="76"/>
    </row>
    <row r="80" spans="1:4" ht="14.25" x14ac:dyDescent="0.2">
      <c r="A80" s="76"/>
      <c r="B80" s="76"/>
      <c r="C80" s="76"/>
      <c r="D80" s="76"/>
    </row>
    <row r="81" spans="1:4" ht="14.25" x14ac:dyDescent="0.2">
      <c r="A81" s="76"/>
      <c r="B81" s="76"/>
      <c r="C81" s="76"/>
      <c r="D81" s="76"/>
    </row>
    <row r="82" spans="1:4" ht="14.25" x14ac:dyDescent="0.2">
      <c r="A82" s="76"/>
      <c r="B82" s="76"/>
      <c r="C82" s="76"/>
      <c r="D82" s="76"/>
    </row>
    <row r="83" spans="1:4" ht="14.25" x14ac:dyDescent="0.2">
      <c r="A83" s="76"/>
      <c r="B83" s="76"/>
      <c r="C83" s="76"/>
      <c r="D83" s="76"/>
    </row>
    <row r="84" spans="1:4" ht="14.25" x14ac:dyDescent="0.2">
      <c r="A84" s="76"/>
      <c r="B84" s="76"/>
      <c r="C84" s="76"/>
      <c r="D84" s="76"/>
    </row>
    <row r="85" spans="1:4" ht="14.25" x14ac:dyDescent="0.2">
      <c r="A85" s="76"/>
      <c r="B85" s="76"/>
      <c r="C85" s="76"/>
      <c r="D85" s="76"/>
    </row>
    <row r="86" spans="1:4" ht="14.25" x14ac:dyDescent="0.2">
      <c r="A86" s="76"/>
      <c r="B86" s="76"/>
      <c r="C86" s="76"/>
      <c r="D86" s="76"/>
    </row>
    <row r="87" spans="1:4" ht="14.25" x14ac:dyDescent="0.2">
      <c r="A87" s="76"/>
      <c r="B87" s="76"/>
      <c r="C87" s="76"/>
      <c r="D87" s="76"/>
    </row>
    <row r="88" spans="1:4" ht="14.25" x14ac:dyDescent="0.2">
      <c r="A88" s="76"/>
      <c r="B88" s="76"/>
      <c r="C88" s="76"/>
      <c r="D88" s="76"/>
    </row>
    <row r="89" spans="1:4" ht="14.25" x14ac:dyDescent="0.2">
      <c r="A89" s="76"/>
      <c r="B89" s="76"/>
      <c r="C89" s="76"/>
      <c r="D89" s="76"/>
    </row>
    <row r="90" spans="1:4" ht="14.25" x14ac:dyDescent="0.2">
      <c r="A90" s="76"/>
      <c r="B90" s="76"/>
      <c r="C90" s="76"/>
      <c r="D90" s="76"/>
    </row>
    <row r="91" spans="1:4" ht="14.25" x14ac:dyDescent="0.2">
      <c r="A91" s="76"/>
      <c r="B91" s="76"/>
      <c r="C91" s="76"/>
      <c r="D91" s="76"/>
    </row>
    <row r="92" spans="1:4" ht="14.25" x14ac:dyDescent="0.2">
      <c r="A92" s="76"/>
      <c r="B92" s="76"/>
      <c r="C92" s="76"/>
      <c r="D92" s="76"/>
    </row>
    <row r="93" spans="1:4" ht="14.25" x14ac:dyDescent="0.2">
      <c r="A93" s="76"/>
      <c r="B93" s="76"/>
      <c r="C93" s="76"/>
      <c r="D93" s="76"/>
    </row>
    <row r="94" spans="1:4" ht="14.25" x14ac:dyDescent="0.2">
      <c r="A94" s="76"/>
      <c r="B94" s="76"/>
      <c r="C94" s="76"/>
      <c r="D94" s="76"/>
    </row>
    <row r="95" spans="1:4" ht="14.25" x14ac:dyDescent="0.2">
      <c r="A95" s="76"/>
      <c r="B95" s="76"/>
      <c r="C95" s="76"/>
      <c r="D95" s="76"/>
    </row>
    <row r="96" spans="1:4" ht="14.25" x14ac:dyDescent="0.2">
      <c r="A96" s="76"/>
      <c r="B96" s="76"/>
      <c r="C96" s="76"/>
      <c r="D96" s="76"/>
    </row>
    <row r="97" spans="1:4" ht="14.25" x14ac:dyDescent="0.2">
      <c r="A97" s="76"/>
      <c r="B97" s="76"/>
      <c r="C97" s="76"/>
      <c r="D97" s="76"/>
    </row>
    <row r="98" spans="1:4" ht="14.25" x14ac:dyDescent="0.2">
      <c r="A98" s="76"/>
      <c r="B98" s="76"/>
      <c r="C98" s="76"/>
      <c r="D98" s="76"/>
    </row>
    <row r="99" spans="1:4" ht="14.25" x14ac:dyDescent="0.2">
      <c r="A99" s="76"/>
      <c r="B99" s="76"/>
      <c r="C99" s="76"/>
      <c r="D99" s="76"/>
    </row>
    <row r="100" spans="1:4" ht="14.25" x14ac:dyDescent="0.2">
      <c r="A100" s="76"/>
      <c r="B100" s="76"/>
      <c r="C100" s="76"/>
      <c r="D100" s="76"/>
    </row>
    <row r="101" spans="1:4" ht="14.25" x14ac:dyDescent="0.2">
      <c r="A101" s="76"/>
      <c r="B101" s="76"/>
      <c r="C101" s="76"/>
      <c r="D101" s="76"/>
    </row>
    <row r="102" spans="1:4" ht="14.25" x14ac:dyDescent="0.2">
      <c r="A102" s="76"/>
      <c r="B102" s="76"/>
      <c r="C102" s="76"/>
      <c r="D102" s="76"/>
    </row>
    <row r="103" spans="1:4" ht="14.25" x14ac:dyDescent="0.2">
      <c r="A103" s="76"/>
      <c r="B103" s="76"/>
      <c r="C103" s="76"/>
      <c r="D103" s="76"/>
    </row>
    <row r="104" spans="1:4" ht="14.25" x14ac:dyDescent="0.2">
      <c r="A104" s="76"/>
      <c r="B104" s="76"/>
      <c r="C104" s="76"/>
      <c r="D104" s="76"/>
    </row>
    <row r="105" spans="1:4" ht="14.25" x14ac:dyDescent="0.2">
      <c r="A105" s="76"/>
      <c r="B105" s="76"/>
      <c r="C105" s="76"/>
      <c r="D105" s="76"/>
    </row>
    <row r="106" spans="1:4" ht="14.25" x14ac:dyDescent="0.2">
      <c r="A106" s="76"/>
      <c r="B106" s="76"/>
      <c r="C106" s="76"/>
      <c r="D106" s="76"/>
    </row>
    <row r="107" spans="1:4" ht="14.25" x14ac:dyDescent="0.2">
      <c r="A107" s="76"/>
      <c r="B107" s="76"/>
      <c r="C107" s="76"/>
      <c r="D107" s="76"/>
    </row>
    <row r="108" spans="1:4" ht="14.25" x14ac:dyDescent="0.2">
      <c r="A108" s="76"/>
      <c r="B108" s="76"/>
      <c r="C108" s="76"/>
      <c r="D108" s="76"/>
    </row>
    <row r="109" spans="1:4" ht="14.25" x14ac:dyDescent="0.2">
      <c r="A109" s="76"/>
      <c r="B109" s="76"/>
      <c r="C109" s="76"/>
      <c r="D109" s="76"/>
    </row>
    <row r="110" spans="1:4" ht="14.25" x14ac:dyDescent="0.2">
      <c r="A110" s="76"/>
      <c r="B110" s="76"/>
      <c r="C110" s="76"/>
      <c r="D110" s="76"/>
    </row>
    <row r="111" spans="1:4" ht="14.25" x14ac:dyDescent="0.2">
      <c r="A111" s="76"/>
      <c r="B111" s="76"/>
      <c r="C111" s="76"/>
      <c r="D111" s="76"/>
    </row>
    <row r="112" spans="1:4" ht="14.25" x14ac:dyDescent="0.2">
      <c r="A112" s="76"/>
      <c r="B112" s="76"/>
      <c r="C112" s="76"/>
      <c r="D112" s="76"/>
    </row>
    <row r="113" spans="1:4" ht="14.25" x14ac:dyDescent="0.2">
      <c r="A113" s="76"/>
      <c r="B113" s="76"/>
      <c r="C113" s="76"/>
      <c r="D113" s="76"/>
    </row>
    <row r="114" spans="1:4" ht="14.25" x14ac:dyDescent="0.2">
      <c r="A114" s="76"/>
      <c r="B114" s="76"/>
      <c r="C114" s="76"/>
      <c r="D114" s="76"/>
    </row>
    <row r="115" spans="1:4" ht="14.25" x14ac:dyDescent="0.2">
      <c r="A115" s="76"/>
      <c r="B115" s="76"/>
      <c r="C115" s="76"/>
      <c r="D115" s="76"/>
    </row>
    <row r="116" spans="1:4" ht="14.25" x14ac:dyDescent="0.2">
      <c r="A116" s="76"/>
      <c r="B116" s="76"/>
      <c r="C116" s="76"/>
      <c r="D116" s="76"/>
    </row>
    <row r="117" spans="1:4" ht="14.25" x14ac:dyDescent="0.2">
      <c r="A117" s="76"/>
      <c r="B117" s="76"/>
      <c r="C117" s="76"/>
      <c r="D117" s="76"/>
    </row>
    <row r="118" spans="1:4" ht="14.25" x14ac:dyDescent="0.2">
      <c r="A118" s="76"/>
      <c r="B118" s="76"/>
      <c r="C118" s="76"/>
      <c r="D118" s="76"/>
    </row>
    <row r="119" spans="1:4" ht="14.25" x14ac:dyDescent="0.2">
      <c r="A119" s="76"/>
      <c r="B119" s="76"/>
      <c r="C119" s="76"/>
      <c r="D119" s="76"/>
    </row>
    <row r="120" spans="1:4" ht="14.25" x14ac:dyDescent="0.2">
      <c r="A120" s="76"/>
      <c r="B120" s="76"/>
      <c r="C120" s="76"/>
      <c r="D120" s="76"/>
    </row>
    <row r="121" spans="1:4" ht="14.25" x14ac:dyDescent="0.2">
      <c r="A121" s="76"/>
      <c r="B121" s="76"/>
      <c r="C121" s="76"/>
      <c r="D121" s="76"/>
    </row>
    <row r="122" spans="1:4" ht="14.25" x14ac:dyDescent="0.2">
      <c r="A122" s="76"/>
      <c r="B122" s="76"/>
      <c r="C122" s="76"/>
      <c r="D122" s="76"/>
    </row>
    <row r="123" spans="1:4" ht="14.25" x14ac:dyDescent="0.2">
      <c r="A123" s="76"/>
      <c r="B123" s="76"/>
      <c r="C123" s="76"/>
      <c r="D123" s="76"/>
    </row>
    <row r="124" spans="1:4" ht="14.25" x14ac:dyDescent="0.2">
      <c r="A124" s="76"/>
      <c r="B124" s="76"/>
      <c r="C124" s="76"/>
      <c r="D124" s="76"/>
    </row>
    <row r="125" spans="1:4" ht="14.25" x14ac:dyDescent="0.2">
      <c r="A125" s="76"/>
      <c r="B125" s="76"/>
      <c r="C125" s="76"/>
      <c r="D125" s="76"/>
    </row>
    <row r="126" spans="1:4" ht="14.25" x14ac:dyDescent="0.2">
      <c r="A126" s="76"/>
      <c r="B126" s="76"/>
      <c r="C126" s="76"/>
      <c r="D126" s="76"/>
    </row>
    <row r="127" spans="1:4" ht="14.25" x14ac:dyDescent="0.2">
      <c r="A127" s="76"/>
      <c r="B127" s="76"/>
      <c r="C127" s="76"/>
      <c r="D127" s="76"/>
    </row>
    <row r="128" spans="1:4" ht="14.25" x14ac:dyDescent="0.2">
      <c r="A128" s="76"/>
      <c r="B128" s="76"/>
      <c r="C128" s="76"/>
      <c r="D128" s="76"/>
    </row>
    <row r="129" spans="1:4" ht="14.25" x14ac:dyDescent="0.2">
      <c r="A129" s="76"/>
      <c r="B129" s="76"/>
      <c r="C129" s="76"/>
      <c r="D129" s="76"/>
    </row>
    <row r="130" spans="1:4" ht="14.25" x14ac:dyDescent="0.2">
      <c r="A130" s="76"/>
      <c r="B130" s="76"/>
      <c r="C130" s="76"/>
      <c r="D130" s="76"/>
    </row>
    <row r="131" spans="1:4" ht="14.25" x14ac:dyDescent="0.2">
      <c r="A131" s="76"/>
      <c r="B131" s="76"/>
      <c r="C131" s="76"/>
      <c r="D131" s="76"/>
    </row>
    <row r="132" spans="1:4" ht="14.25" x14ac:dyDescent="0.2">
      <c r="A132" s="76"/>
      <c r="B132" s="76"/>
      <c r="C132" s="76"/>
      <c r="D132" s="76"/>
    </row>
    <row r="133" spans="1:4" ht="14.25" x14ac:dyDescent="0.2">
      <c r="A133" s="76"/>
      <c r="B133" s="76"/>
      <c r="C133" s="76"/>
      <c r="D133" s="76"/>
    </row>
    <row r="134" spans="1:4" ht="14.25" x14ac:dyDescent="0.2">
      <c r="A134" s="76"/>
      <c r="B134" s="76"/>
      <c r="C134" s="76"/>
      <c r="D134" s="76"/>
    </row>
    <row r="135" spans="1:4" ht="14.25" x14ac:dyDescent="0.2">
      <c r="A135" s="76"/>
      <c r="B135" s="76"/>
      <c r="C135" s="76"/>
      <c r="D135" s="76"/>
    </row>
    <row r="136" spans="1:4" ht="14.25" x14ac:dyDescent="0.2">
      <c r="A136" s="76"/>
      <c r="B136" s="76"/>
      <c r="C136" s="76"/>
      <c r="D136" s="76"/>
    </row>
    <row r="137" spans="1:4" ht="14.25" x14ac:dyDescent="0.2">
      <c r="A137" s="76"/>
      <c r="B137" s="76"/>
      <c r="C137" s="76"/>
      <c r="D137" s="76"/>
    </row>
    <row r="138" spans="1:4" ht="14.25" x14ac:dyDescent="0.2">
      <c r="A138" s="76"/>
      <c r="B138" s="76"/>
      <c r="C138" s="76"/>
      <c r="D138" s="76"/>
    </row>
    <row r="139" spans="1:4" ht="14.25" x14ac:dyDescent="0.2">
      <c r="A139" s="76"/>
      <c r="B139" s="76"/>
      <c r="C139" s="76"/>
      <c r="D139" s="76"/>
    </row>
    <row r="140" spans="1:4" ht="14.25" x14ac:dyDescent="0.2">
      <c r="A140" s="76"/>
      <c r="B140" s="76"/>
      <c r="C140" s="76"/>
      <c r="D140" s="76"/>
    </row>
    <row r="141" spans="1:4" ht="14.25" x14ac:dyDescent="0.2">
      <c r="A141" s="76"/>
      <c r="B141" s="76"/>
      <c r="C141" s="76"/>
      <c r="D141" s="76"/>
    </row>
    <row r="142" spans="1:4" ht="14.25" x14ac:dyDescent="0.2">
      <c r="A142" s="76"/>
      <c r="B142" s="76"/>
      <c r="C142" s="76"/>
      <c r="D142" s="76"/>
    </row>
    <row r="143" spans="1:4" ht="14.25" x14ac:dyDescent="0.2">
      <c r="A143" s="76"/>
      <c r="B143" s="76"/>
      <c r="C143" s="76"/>
      <c r="D143" s="76"/>
    </row>
    <row r="144" spans="1:4" ht="14.25" x14ac:dyDescent="0.2">
      <c r="A144" s="76"/>
      <c r="B144" s="76"/>
      <c r="C144" s="76"/>
      <c r="D144" s="76"/>
    </row>
    <row r="145" spans="1:4" ht="14.25" x14ac:dyDescent="0.2">
      <c r="A145" s="76"/>
      <c r="B145" s="76"/>
      <c r="C145" s="76"/>
      <c r="D145" s="76"/>
    </row>
    <row r="146" spans="1:4" ht="14.25" x14ac:dyDescent="0.2">
      <c r="A146" s="76"/>
      <c r="B146" s="76"/>
      <c r="C146" s="76"/>
      <c r="D146" s="76"/>
    </row>
    <row r="147" spans="1:4" ht="14.25" x14ac:dyDescent="0.2">
      <c r="A147" s="76"/>
      <c r="B147" s="76"/>
      <c r="C147" s="76"/>
      <c r="D147" s="76"/>
    </row>
    <row r="148" spans="1:4" ht="14.25" x14ac:dyDescent="0.2">
      <c r="A148" s="76"/>
      <c r="B148" s="76"/>
      <c r="C148" s="76"/>
      <c r="D148" s="76"/>
    </row>
    <row r="149" spans="1:4" ht="14.25" x14ac:dyDescent="0.2">
      <c r="A149" s="76"/>
      <c r="B149" s="76"/>
      <c r="C149" s="76"/>
      <c r="D149" s="76"/>
    </row>
    <row r="150" spans="1:4" ht="14.25" x14ac:dyDescent="0.2">
      <c r="A150" s="76"/>
      <c r="B150" s="76"/>
      <c r="C150" s="76"/>
      <c r="D150" s="76"/>
    </row>
    <row r="151" spans="1:4" ht="14.25" x14ac:dyDescent="0.2">
      <c r="A151" s="76"/>
      <c r="B151" s="76"/>
      <c r="C151" s="76"/>
      <c r="D151" s="76"/>
    </row>
    <row r="152" spans="1:4" ht="14.25" x14ac:dyDescent="0.2">
      <c r="A152" s="76"/>
      <c r="B152" s="76"/>
      <c r="C152" s="76"/>
      <c r="D152" s="76"/>
    </row>
    <row r="153" spans="1:4" ht="14.25" x14ac:dyDescent="0.2">
      <c r="A153" s="76"/>
      <c r="B153" s="76"/>
      <c r="C153" s="76"/>
      <c r="D153" s="76"/>
    </row>
    <row r="154" spans="1:4" ht="14.25" x14ac:dyDescent="0.2">
      <c r="A154" s="76"/>
      <c r="B154" s="76"/>
      <c r="C154" s="76"/>
      <c r="D154" s="76"/>
    </row>
    <row r="155" spans="1:4" ht="14.25" x14ac:dyDescent="0.2">
      <c r="A155" s="76"/>
      <c r="B155" s="76"/>
      <c r="C155" s="76"/>
      <c r="D155" s="76"/>
    </row>
    <row r="156" spans="1:4" ht="14.25" x14ac:dyDescent="0.2">
      <c r="A156" s="76"/>
      <c r="B156" s="76"/>
      <c r="C156" s="76"/>
      <c r="D156" s="76"/>
    </row>
    <row r="157" spans="1:4" ht="14.25" x14ac:dyDescent="0.2">
      <c r="A157" s="76"/>
      <c r="B157" s="76"/>
      <c r="C157" s="76"/>
      <c r="D157" s="76"/>
    </row>
    <row r="158" spans="1:4" ht="14.25" x14ac:dyDescent="0.2">
      <c r="A158" s="76"/>
      <c r="B158" s="76"/>
      <c r="C158" s="76"/>
      <c r="D158" s="76"/>
    </row>
    <row r="159" spans="1:4" ht="14.25" x14ac:dyDescent="0.2">
      <c r="A159" s="76"/>
      <c r="B159" s="76"/>
      <c r="C159" s="76"/>
      <c r="D159" s="76"/>
    </row>
    <row r="160" spans="1:4" ht="14.25" x14ac:dyDescent="0.2">
      <c r="A160" s="76"/>
      <c r="B160" s="76"/>
      <c r="C160" s="76"/>
      <c r="D160" s="76"/>
    </row>
    <row r="161" spans="1:4" ht="14.25" x14ac:dyDescent="0.2">
      <c r="A161" s="76"/>
      <c r="B161" s="76"/>
      <c r="C161" s="76"/>
      <c r="D161" s="76"/>
    </row>
    <row r="162" spans="1:4" ht="14.25" x14ac:dyDescent="0.2">
      <c r="A162" s="76"/>
      <c r="B162" s="76"/>
      <c r="C162" s="76"/>
      <c r="D162" s="76"/>
    </row>
    <row r="163" spans="1:4" ht="14.25" x14ac:dyDescent="0.2">
      <c r="A163" s="76"/>
      <c r="B163" s="76"/>
      <c r="C163" s="76"/>
      <c r="D163" s="76"/>
    </row>
    <row r="164" spans="1:4" ht="14.25" x14ac:dyDescent="0.2">
      <c r="A164" s="76"/>
      <c r="B164" s="76"/>
      <c r="C164" s="76"/>
      <c r="D164" s="76"/>
    </row>
    <row r="165" spans="1:4" ht="14.25" x14ac:dyDescent="0.2">
      <c r="A165" s="76"/>
      <c r="B165" s="76"/>
      <c r="C165" s="76"/>
      <c r="D165" s="76"/>
    </row>
    <row r="166" spans="1:4" ht="14.25" x14ac:dyDescent="0.2">
      <c r="A166" s="76"/>
      <c r="B166" s="76"/>
      <c r="C166" s="76"/>
      <c r="D166" s="76"/>
    </row>
    <row r="167" spans="1:4" ht="14.25" x14ac:dyDescent="0.2">
      <c r="A167" s="76"/>
      <c r="B167" s="76"/>
      <c r="C167" s="76"/>
      <c r="D167" s="76"/>
    </row>
    <row r="168" spans="1:4" ht="14.25" x14ac:dyDescent="0.2">
      <c r="A168" s="76"/>
      <c r="B168" s="76"/>
      <c r="C168" s="76"/>
      <c r="D168" s="76"/>
    </row>
    <row r="169" spans="1:4" ht="14.25" x14ac:dyDescent="0.2">
      <c r="A169" s="76"/>
      <c r="B169" s="76"/>
      <c r="C169" s="76"/>
      <c r="D169" s="76"/>
    </row>
    <row r="170" spans="1:4" ht="14.25" x14ac:dyDescent="0.2">
      <c r="A170" s="76"/>
      <c r="B170" s="76"/>
      <c r="C170" s="76"/>
      <c r="D170" s="76"/>
    </row>
    <row r="171" spans="1:4" ht="14.25" x14ac:dyDescent="0.2">
      <c r="A171" s="76"/>
      <c r="B171" s="76"/>
      <c r="C171" s="76"/>
      <c r="D171" s="76"/>
    </row>
    <row r="172" spans="1:4" ht="14.25" x14ac:dyDescent="0.2">
      <c r="A172" s="76"/>
      <c r="B172" s="76"/>
      <c r="C172" s="76"/>
      <c r="D172" s="76"/>
    </row>
    <row r="173" spans="1:4" ht="14.25" x14ac:dyDescent="0.2">
      <c r="A173" s="76"/>
      <c r="B173" s="76"/>
      <c r="C173" s="76"/>
      <c r="D173" s="76"/>
    </row>
    <row r="174" spans="1:4" ht="14.25" x14ac:dyDescent="0.2">
      <c r="A174" s="76"/>
      <c r="B174" s="76"/>
      <c r="C174" s="76"/>
      <c r="D174" s="76"/>
    </row>
    <row r="175" spans="1:4" ht="14.25" x14ac:dyDescent="0.2">
      <c r="A175" s="76"/>
      <c r="B175" s="76"/>
      <c r="C175" s="76"/>
      <c r="D175" s="76"/>
    </row>
    <row r="176" spans="1:4" ht="14.25" x14ac:dyDescent="0.2">
      <c r="A176" s="76"/>
      <c r="B176" s="76"/>
      <c r="C176" s="76"/>
      <c r="D176" s="76"/>
    </row>
    <row r="177" spans="1:4" ht="14.25" x14ac:dyDescent="0.2">
      <c r="A177" s="76"/>
      <c r="B177" s="76"/>
      <c r="C177" s="76"/>
      <c r="D177" s="76"/>
    </row>
    <row r="178" spans="1:4" ht="14.25" x14ac:dyDescent="0.2">
      <c r="A178" s="76"/>
      <c r="B178" s="76"/>
      <c r="C178" s="76"/>
      <c r="D178" s="76"/>
    </row>
    <row r="179" spans="1:4" ht="14.25" x14ac:dyDescent="0.2">
      <c r="A179" s="76"/>
      <c r="B179" s="76"/>
      <c r="C179" s="76"/>
      <c r="D179" s="76"/>
    </row>
    <row r="180" spans="1:4" ht="14.25" x14ac:dyDescent="0.2">
      <c r="A180" s="76"/>
      <c r="B180" s="76"/>
      <c r="C180" s="76"/>
      <c r="D180" s="76"/>
    </row>
    <row r="181" spans="1:4" ht="14.25" x14ac:dyDescent="0.2">
      <c r="A181" s="76"/>
      <c r="B181" s="76"/>
      <c r="C181" s="76"/>
      <c r="D181" s="76"/>
    </row>
    <row r="182" spans="1:4" ht="14.25" x14ac:dyDescent="0.2">
      <c r="A182" s="76"/>
      <c r="B182" s="76"/>
      <c r="C182" s="76"/>
      <c r="D182" s="76"/>
    </row>
    <row r="183" spans="1:4" ht="14.25" x14ac:dyDescent="0.2">
      <c r="A183" s="76"/>
      <c r="B183" s="76"/>
      <c r="C183" s="76"/>
      <c r="D183" s="76"/>
    </row>
    <row r="184" spans="1:4" ht="14.25" x14ac:dyDescent="0.2">
      <c r="A184" s="76"/>
      <c r="B184" s="76"/>
      <c r="C184" s="76"/>
      <c r="D184" s="76"/>
    </row>
    <row r="185" spans="1:4" ht="14.25" x14ac:dyDescent="0.2">
      <c r="A185" s="76"/>
      <c r="B185" s="76"/>
      <c r="C185" s="76"/>
      <c r="D185" s="76"/>
    </row>
    <row r="186" spans="1:4" ht="14.25" x14ac:dyDescent="0.2">
      <c r="A186" s="76"/>
      <c r="B186" s="76"/>
      <c r="C186" s="76"/>
      <c r="D186" s="76"/>
    </row>
    <row r="187" spans="1:4" ht="14.25" x14ac:dyDescent="0.2">
      <c r="A187" s="76"/>
      <c r="B187" s="76"/>
      <c r="C187" s="76"/>
      <c r="D187" s="76"/>
    </row>
    <row r="188" spans="1:4" ht="14.25" x14ac:dyDescent="0.2">
      <c r="A188" s="76"/>
      <c r="B188" s="76"/>
      <c r="C188" s="76"/>
      <c r="D188" s="76"/>
    </row>
    <row r="189" spans="1:4" ht="14.25" x14ac:dyDescent="0.2">
      <c r="A189" s="76"/>
      <c r="B189" s="76"/>
      <c r="C189" s="76"/>
      <c r="D189" s="76"/>
    </row>
    <row r="190" spans="1:4" ht="14.25" x14ac:dyDescent="0.2">
      <c r="A190" s="76"/>
      <c r="B190" s="76"/>
      <c r="C190" s="76"/>
      <c r="D190" s="76"/>
    </row>
    <row r="191" spans="1:4" ht="14.25" x14ac:dyDescent="0.2">
      <c r="A191" s="76"/>
      <c r="B191" s="76"/>
      <c r="C191" s="76"/>
      <c r="D191" s="76"/>
    </row>
    <row r="192" spans="1:4" ht="14.25" x14ac:dyDescent="0.2">
      <c r="A192" s="76"/>
      <c r="B192" s="76"/>
      <c r="C192" s="76"/>
      <c r="D192" s="76"/>
    </row>
    <row r="193" spans="1:4" ht="14.25" x14ac:dyDescent="0.2">
      <c r="A193" s="76"/>
      <c r="B193" s="76"/>
      <c r="C193" s="76"/>
      <c r="D193" s="76"/>
    </row>
    <row r="194" spans="1:4" ht="14.25" x14ac:dyDescent="0.2">
      <c r="A194" s="76"/>
      <c r="B194" s="76"/>
      <c r="C194" s="76"/>
      <c r="D194" s="76"/>
    </row>
    <row r="195" spans="1:4" ht="14.25" x14ac:dyDescent="0.2">
      <c r="A195" s="76"/>
      <c r="B195" s="76"/>
      <c r="C195" s="76"/>
      <c r="D195" s="76"/>
    </row>
    <row r="196" spans="1:4" ht="14.25" x14ac:dyDescent="0.2">
      <c r="A196" s="76"/>
      <c r="B196" s="76"/>
      <c r="C196" s="76"/>
      <c r="D196" s="76"/>
    </row>
    <row r="197" spans="1:4" ht="14.25" x14ac:dyDescent="0.2">
      <c r="A197" s="76"/>
      <c r="B197" s="76"/>
      <c r="C197" s="76"/>
      <c r="D197" s="76"/>
    </row>
    <row r="198" spans="1:4" ht="14.25" x14ac:dyDescent="0.2">
      <c r="A198" s="76"/>
      <c r="B198" s="76"/>
      <c r="C198" s="76"/>
      <c r="D198" s="76"/>
    </row>
    <row r="199" spans="1:4" ht="14.25" x14ac:dyDescent="0.2">
      <c r="A199" s="76"/>
      <c r="B199" s="76"/>
      <c r="C199" s="76"/>
      <c r="D199" s="76"/>
    </row>
    <row r="200" spans="1:4" ht="14.25" x14ac:dyDescent="0.2">
      <c r="A200" s="76"/>
      <c r="B200" s="76"/>
      <c r="C200" s="76"/>
      <c r="D200" s="76"/>
    </row>
    <row r="201" spans="1:4" ht="14.25" x14ac:dyDescent="0.2">
      <c r="A201" s="76"/>
      <c r="B201" s="76"/>
      <c r="C201" s="76"/>
      <c r="D201" s="76"/>
    </row>
    <row r="202" spans="1:4" ht="14.25" x14ac:dyDescent="0.2">
      <c r="A202" s="76"/>
      <c r="B202" s="76"/>
      <c r="C202" s="76"/>
      <c r="D202" s="76"/>
    </row>
    <row r="203" spans="1:4" ht="14.25" x14ac:dyDescent="0.2">
      <c r="A203" s="76"/>
      <c r="B203" s="76"/>
      <c r="C203" s="76"/>
      <c r="D203" s="76"/>
    </row>
    <row r="204" spans="1:4" ht="14.25" x14ac:dyDescent="0.2">
      <c r="A204" s="76"/>
      <c r="B204" s="76"/>
      <c r="C204" s="76"/>
      <c r="D204" s="76"/>
    </row>
    <row r="205" spans="1:4" ht="14.25" x14ac:dyDescent="0.2">
      <c r="A205" s="76"/>
      <c r="B205" s="76"/>
      <c r="C205" s="76"/>
      <c r="D205" s="76"/>
    </row>
    <row r="206" spans="1:4" ht="14.25" x14ac:dyDescent="0.2">
      <c r="A206" s="76"/>
      <c r="B206" s="76"/>
      <c r="C206" s="76"/>
      <c r="D206" s="76"/>
    </row>
    <row r="207" spans="1:4" ht="14.25" x14ac:dyDescent="0.2">
      <c r="A207" s="76"/>
      <c r="B207" s="76"/>
      <c r="C207" s="76"/>
      <c r="D207" s="76"/>
    </row>
    <row r="208" spans="1:4" ht="14.25" x14ac:dyDescent="0.2">
      <c r="A208" s="76"/>
      <c r="B208" s="76"/>
      <c r="C208" s="76"/>
      <c r="D208" s="76"/>
    </row>
    <row r="209" spans="1:4" ht="14.25" x14ac:dyDescent="0.2">
      <c r="A209" s="76"/>
      <c r="B209" s="76"/>
      <c r="C209" s="76"/>
      <c r="D209" s="76"/>
    </row>
    <row r="210" spans="1:4" ht="14.25" x14ac:dyDescent="0.2">
      <c r="A210" s="76"/>
      <c r="B210" s="76"/>
      <c r="C210" s="76"/>
      <c r="D210" s="76"/>
    </row>
    <row r="211" spans="1:4" ht="14.25" x14ac:dyDescent="0.2">
      <c r="A211" s="76"/>
      <c r="B211" s="76"/>
      <c r="C211" s="76"/>
      <c r="D211" s="76"/>
    </row>
    <row r="212" spans="1:4" ht="14.25" x14ac:dyDescent="0.2">
      <c r="A212" s="76"/>
      <c r="B212" s="76"/>
      <c r="C212" s="76"/>
      <c r="D212" s="76"/>
    </row>
    <row r="213" spans="1:4" ht="14.25" x14ac:dyDescent="0.2">
      <c r="A213" s="76"/>
      <c r="B213" s="76"/>
      <c r="C213" s="76"/>
      <c r="D213" s="76"/>
    </row>
    <row r="214" spans="1:4" ht="14.25" x14ac:dyDescent="0.2">
      <c r="A214" s="76"/>
      <c r="B214" s="76"/>
      <c r="C214" s="76"/>
      <c r="D214" s="76"/>
    </row>
    <row r="215" spans="1:4" ht="14.25" x14ac:dyDescent="0.2">
      <c r="A215" s="76"/>
      <c r="B215" s="76"/>
      <c r="C215" s="76"/>
      <c r="D215" s="76"/>
    </row>
    <row r="216" spans="1:4" ht="14.25" x14ac:dyDescent="0.2">
      <c r="A216" s="76"/>
      <c r="B216" s="76"/>
      <c r="C216" s="76"/>
      <c r="D216" s="76"/>
    </row>
    <row r="217" spans="1:4" ht="14.25" x14ac:dyDescent="0.2">
      <c r="A217" s="76"/>
      <c r="B217" s="76"/>
      <c r="C217" s="76"/>
      <c r="D217" s="76"/>
    </row>
    <row r="218" spans="1:4" ht="14.25" x14ac:dyDescent="0.2">
      <c r="A218" s="76"/>
      <c r="B218" s="76"/>
      <c r="C218" s="76"/>
      <c r="D218" s="76"/>
    </row>
    <row r="219" spans="1:4" ht="14.25" x14ac:dyDescent="0.2">
      <c r="A219" s="76"/>
      <c r="B219" s="76"/>
      <c r="C219" s="76"/>
      <c r="D219" s="76"/>
    </row>
    <row r="220" spans="1:4" ht="14.25" x14ac:dyDescent="0.2">
      <c r="A220" s="76"/>
      <c r="B220" s="76"/>
      <c r="C220" s="76"/>
      <c r="D220" s="76"/>
    </row>
    <row r="221" spans="1:4" ht="14.25" x14ac:dyDescent="0.2">
      <c r="A221" s="76"/>
      <c r="B221" s="76"/>
      <c r="C221" s="76"/>
      <c r="D221" s="76"/>
    </row>
    <row r="222" spans="1:4" ht="14.25" x14ac:dyDescent="0.2">
      <c r="A222" s="76"/>
      <c r="B222" s="76"/>
      <c r="C222" s="76"/>
      <c r="D222" s="76"/>
    </row>
    <row r="223" spans="1:4" ht="14.25" x14ac:dyDescent="0.2">
      <c r="A223" s="76"/>
      <c r="B223" s="76"/>
      <c r="C223" s="76"/>
      <c r="D223" s="76"/>
    </row>
    <row r="224" spans="1:4" ht="14.25" x14ac:dyDescent="0.2">
      <c r="A224" s="76"/>
      <c r="B224" s="76"/>
      <c r="C224" s="76"/>
      <c r="D224" s="76"/>
    </row>
    <row r="225" spans="1:4" ht="14.25" x14ac:dyDescent="0.2">
      <c r="A225" s="76"/>
      <c r="B225" s="76"/>
      <c r="C225" s="76"/>
      <c r="D225" s="76"/>
    </row>
    <row r="226" spans="1:4" ht="14.25" x14ac:dyDescent="0.2">
      <c r="A226" s="76"/>
      <c r="B226" s="76"/>
      <c r="C226" s="76"/>
      <c r="D226" s="76"/>
    </row>
    <row r="227" spans="1:4" ht="14.25" x14ac:dyDescent="0.2">
      <c r="A227" s="76"/>
      <c r="B227" s="76"/>
      <c r="C227" s="76"/>
      <c r="D227" s="76"/>
    </row>
    <row r="228" spans="1:4" ht="14.25" x14ac:dyDescent="0.2">
      <c r="A228" s="76"/>
      <c r="B228" s="76"/>
      <c r="C228" s="76"/>
      <c r="D228" s="76"/>
    </row>
    <row r="229" spans="1:4" ht="14.25" x14ac:dyDescent="0.2">
      <c r="A229" s="76"/>
      <c r="B229" s="76"/>
      <c r="C229" s="76"/>
      <c r="D229" s="76"/>
    </row>
    <row r="230" spans="1:4" ht="14.25" x14ac:dyDescent="0.2">
      <c r="A230" s="76"/>
      <c r="B230" s="76"/>
      <c r="C230" s="76"/>
      <c r="D230" s="76"/>
    </row>
    <row r="231" spans="1:4" ht="14.25" x14ac:dyDescent="0.2">
      <c r="A231" s="76"/>
      <c r="B231" s="76"/>
      <c r="C231" s="76"/>
      <c r="D231" s="76"/>
    </row>
    <row r="232" spans="1:4" ht="14.25" x14ac:dyDescent="0.2">
      <c r="A232" s="76"/>
      <c r="B232" s="76"/>
      <c r="C232" s="76"/>
      <c r="D232" s="76"/>
    </row>
    <row r="233" spans="1:4" ht="14.25" x14ac:dyDescent="0.2">
      <c r="A233" s="76"/>
      <c r="B233" s="76"/>
      <c r="C233" s="76"/>
      <c r="D233" s="76"/>
    </row>
    <row r="234" spans="1:4" ht="14.25" x14ac:dyDescent="0.2">
      <c r="A234" s="76"/>
      <c r="B234" s="76"/>
      <c r="C234" s="76"/>
      <c r="D234" s="76"/>
    </row>
    <row r="235" spans="1:4" ht="14.25" x14ac:dyDescent="0.2">
      <c r="A235" s="76"/>
      <c r="B235" s="76"/>
      <c r="C235" s="76"/>
      <c r="D235" s="76"/>
    </row>
    <row r="236" spans="1:4" ht="14.25" x14ac:dyDescent="0.2">
      <c r="A236" s="76"/>
      <c r="B236" s="76"/>
      <c r="C236" s="76"/>
      <c r="D236" s="76"/>
    </row>
    <row r="237" spans="1:4" ht="14.25" x14ac:dyDescent="0.2">
      <c r="A237" s="76"/>
      <c r="B237" s="76"/>
      <c r="C237" s="76"/>
      <c r="D237" s="76"/>
    </row>
    <row r="238" spans="1:4" ht="14.25" x14ac:dyDescent="0.2">
      <c r="A238" s="76"/>
      <c r="B238" s="76"/>
      <c r="C238" s="76"/>
      <c r="D238" s="76"/>
    </row>
    <row r="239" spans="1:4" ht="14.25" x14ac:dyDescent="0.2">
      <c r="A239" s="76"/>
      <c r="B239" s="76"/>
      <c r="C239" s="76"/>
      <c r="D239" s="76"/>
    </row>
    <row r="240" spans="1:4" ht="14.25" x14ac:dyDescent="0.2">
      <c r="A240" s="76"/>
      <c r="B240" s="76"/>
      <c r="C240" s="76"/>
      <c r="D240" s="76"/>
    </row>
    <row r="241" spans="1:4" ht="14.25" x14ac:dyDescent="0.2">
      <c r="A241" s="76"/>
      <c r="B241" s="76"/>
      <c r="C241" s="76"/>
      <c r="D241" s="76"/>
    </row>
    <row r="242" spans="1:4" ht="14.25" x14ac:dyDescent="0.2">
      <c r="A242" s="76"/>
      <c r="B242" s="76"/>
      <c r="C242" s="76"/>
      <c r="D242" s="76"/>
    </row>
    <row r="243" spans="1:4" ht="14.25" x14ac:dyDescent="0.2">
      <c r="A243" s="76"/>
      <c r="B243" s="76"/>
      <c r="C243" s="76"/>
      <c r="D243" s="76"/>
    </row>
    <row r="244" spans="1:4" ht="14.25" x14ac:dyDescent="0.2">
      <c r="A244" s="76"/>
      <c r="B244" s="76"/>
      <c r="C244" s="76"/>
      <c r="D244" s="76"/>
    </row>
    <row r="245" spans="1:4" ht="14.25" x14ac:dyDescent="0.2">
      <c r="A245" s="76"/>
      <c r="B245" s="76"/>
      <c r="C245" s="76"/>
      <c r="D245" s="76"/>
    </row>
    <row r="246" spans="1:4" ht="14.25" x14ac:dyDescent="0.2">
      <c r="A246" s="76"/>
      <c r="B246" s="76"/>
      <c r="C246" s="76"/>
      <c r="D246" s="76"/>
    </row>
    <row r="247" spans="1:4" ht="14.25" x14ac:dyDescent="0.2">
      <c r="A247" s="76"/>
      <c r="B247" s="76"/>
      <c r="C247" s="76"/>
      <c r="D247" s="76"/>
    </row>
    <row r="248" spans="1:4" ht="14.25" x14ac:dyDescent="0.2">
      <c r="A248" s="76"/>
      <c r="B248" s="76"/>
      <c r="C248" s="76"/>
      <c r="D248" s="76"/>
    </row>
    <row r="249" spans="1:4" ht="14.25" x14ac:dyDescent="0.2">
      <c r="A249" s="76"/>
      <c r="B249" s="76"/>
      <c r="C249" s="76"/>
      <c r="D249" s="76"/>
    </row>
    <row r="250" spans="1:4" ht="14.25" x14ac:dyDescent="0.2">
      <c r="A250" s="76"/>
      <c r="B250" s="76"/>
      <c r="C250" s="76"/>
      <c r="D250" s="76"/>
    </row>
    <row r="251" spans="1:4" ht="14.25" x14ac:dyDescent="0.2">
      <c r="A251" s="76"/>
      <c r="B251" s="76"/>
      <c r="C251" s="76"/>
      <c r="D251" s="76"/>
    </row>
    <row r="252" spans="1:4" ht="14.25" x14ac:dyDescent="0.2">
      <c r="A252" s="76"/>
      <c r="B252" s="76"/>
      <c r="C252" s="76"/>
      <c r="D252" s="76"/>
    </row>
    <row r="253" spans="1:4" ht="14.25" x14ac:dyDescent="0.2">
      <c r="A253" s="76"/>
      <c r="B253" s="76"/>
      <c r="C253" s="76"/>
      <c r="D253" s="76"/>
    </row>
    <row r="254" spans="1:4" ht="14.25" x14ac:dyDescent="0.2">
      <c r="A254" s="76"/>
      <c r="B254" s="76"/>
      <c r="C254" s="76"/>
      <c r="D254" s="76"/>
    </row>
    <row r="255" spans="1:4" ht="14.25" x14ac:dyDescent="0.2">
      <c r="A255" s="76"/>
      <c r="B255" s="76"/>
      <c r="C255" s="76"/>
      <c r="D255" s="76"/>
    </row>
    <row r="256" spans="1:4" ht="14.25" x14ac:dyDescent="0.2">
      <c r="A256" s="76"/>
      <c r="B256" s="76"/>
      <c r="C256" s="76"/>
      <c r="D256" s="76"/>
    </row>
    <row r="257" spans="1:4" ht="14.25" x14ac:dyDescent="0.2">
      <c r="A257" s="76"/>
      <c r="B257" s="76"/>
      <c r="C257" s="76"/>
      <c r="D257" s="76"/>
    </row>
    <row r="258" spans="1:4" ht="14.25" x14ac:dyDescent="0.2">
      <c r="A258" s="76"/>
      <c r="B258" s="76"/>
      <c r="C258" s="76"/>
      <c r="D258" s="76"/>
    </row>
    <row r="259" spans="1:4" ht="14.25" x14ac:dyDescent="0.2">
      <c r="A259" s="76"/>
      <c r="B259" s="76"/>
      <c r="C259" s="76"/>
      <c r="D259" s="76"/>
    </row>
    <row r="260" spans="1:4" ht="14.25" x14ac:dyDescent="0.2">
      <c r="A260" s="76"/>
      <c r="B260" s="76"/>
      <c r="C260" s="76"/>
      <c r="D260" s="76"/>
    </row>
    <row r="261" spans="1:4" ht="14.25" x14ac:dyDescent="0.2">
      <c r="A261" s="76"/>
      <c r="B261" s="76"/>
      <c r="C261" s="76"/>
      <c r="D261" s="76"/>
    </row>
    <row r="262" spans="1:4" ht="14.25" x14ac:dyDescent="0.2">
      <c r="A262" s="76"/>
      <c r="B262" s="76"/>
      <c r="C262" s="76"/>
      <c r="D262" s="76"/>
    </row>
    <row r="263" spans="1:4" ht="14.25" x14ac:dyDescent="0.2">
      <c r="A263" s="76"/>
      <c r="B263" s="76"/>
      <c r="C263" s="76"/>
      <c r="D263" s="76"/>
    </row>
    <row r="264" spans="1:4" ht="14.25" x14ac:dyDescent="0.2">
      <c r="A264" s="76"/>
      <c r="B264" s="76"/>
      <c r="C264" s="76"/>
      <c r="D264" s="76"/>
    </row>
    <row r="265" spans="1:4" ht="14.25" x14ac:dyDescent="0.2">
      <c r="A265" s="76"/>
      <c r="B265" s="76"/>
      <c r="C265" s="76"/>
      <c r="D265" s="76"/>
    </row>
    <row r="266" spans="1:4" ht="14.25" x14ac:dyDescent="0.2">
      <c r="A266" s="76"/>
      <c r="B266" s="76"/>
      <c r="C266" s="76"/>
      <c r="D266" s="76"/>
    </row>
    <row r="267" spans="1:4" ht="14.25" x14ac:dyDescent="0.2">
      <c r="A267" s="76"/>
      <c r="B267" s="76"/>
      <c r="C267" s="76"/>
      <c r="D267" s="76"/>
    </row>
    <row r="268" spans="1:4" ht="14.25" x14ac:dyDescent="0.2">
      <c r="A268" s="76"/>
      <c r="B268" s="76"/>
      <c r="C268" s="76"/>
      <c r="D268" s="76"/>
    </row>
    <row r="269" spans="1:4" ht="14.25" x14ac:dyDescent="0.2">
      <c r="A269" s="76"/>
      <c r="B269" s="76"/>
      <c r="C269" s="76"/>
      <c r="D269" s="76"/>
    </row>
    <row r="270" spans="1:4" ht="14.25" x14ac:dyDescent="0.2">
      <c r="A270" s="76"/>
      <c r="B270" s="76"/>
      <c r="C270" s="76"/>
      <c r="D270" s="76"/>
    </row>
    <row r="271" spans="1:4" ht="14.25" x14ac:dyDescent="0.2">
      <c r="A271" s="76"/>
      <c r="B271" s="76"/>
      <c r="C271" s="76"/>
      <c r="D271" s="76"/>
    </row>
    <row r="272" spans="1:4" ht="14.25" x14ac:dyDescent="0.2">
      <c r="A272" s="76"/>
      <c r="B272" s="76"/>
      <c r="C272" s="76"/>
      <c r="D272" s="76"/>
    </row>
    <row r="273" spans="1:4" ht="14.25" x14ac:dyDescent="0.2">
      <c r="A273" s="76"/>
      <c r="B273" s="76"/>
      <c r="C273" s="76"/>
      <c r="D273" s="76"/>
    </row>
    <row r="274" spans="1:4" ht="14.25" x14ac:dyDescent="0.2">
      <c r="A274" s="76"/>
      <c r="B274" s="76"/>
      <c r="C274" s="76"/>
      <c r="D274" s="76"/>
    </row>
    <row r="275" spans="1:4" ht="14.25" x14ac:dyDescent="0.2">
      <c r="A275" s="76"/>
      <c r="B275" s="76"/>
      <c r="C275" s="76"/>
      <c r="D275" s="76"/>
    </row>
    <row r="276" spans="1:4" ht="14.25" x14ac:dyDescent="0.2">
      <c r="A276" s="76"/>
      <c r="B276" s="76"/>
      <c r="C276" s="76"/>
      <c r="D276" s="76"/>
    </row>
    <row r="277" spans="1:4" ht="14.25" x14ac:dyDescent="0.2">
      <c r="A277" s="76"/>
      <c r="B277" s="76"/>
      <c r="C277" s="76"/>
      <c r="D277" s="76"/>
    </row>
    <row r="278" spans="1:4" ht="14.25" x14ac:dyDescent="0.2">
      <c r="A278" s="76"/>
      <c r="B278" s="76"/>
      <c r="C278" s="76"/>
      <c r="D278" s="76"/>
    </row>
    <row r="279" spans="1:4" ht="14.25" x14ac:dyDescent="0.2">
      <c r="A279" s="76"/>
      <c r="B279" s="76"/>
      <c r="C279" s="76"/>
      <c r="D279" s="76"/>
    </row>
    <row r="280" spans="1:4" ht="14.25" x14ac:dyDescent="0.2">
      <c r="A280" s="76"/>
      <c r="B280" s="76"/>
      <c r="C280" s="76"/>
      <c r="D280" s="76"/>
    </row>
    <row r="281" spans="1:4" ht="14.25" x14ac:dyDescent="0.2">
      <c r="A281" s="76"/>
      <c r="B281" s="76"/>
      <c r="C281" s="76"/>
      <c r="D281" s="76"/>
    </row>
    <row r="282" spans="1:4" ht="14.25" x14ac:dyDescent="0.2">
      <c r="A282" s="76"/>
      <c r="B282" s="76"/>
      <c r="C282" s="76"/>
      <c r="D282" s="76"/>
    </row>
    <row r="283" spans="1:4" ht="14.25" x14ac:dyDescent="0.2">
      <c r="A283" s="76"/>
      <c r="B283" s="76"/>
      <c r="C283" s="76"/>
      <c r="D283" s="76"/>
    </row>
    <row r="284" spans="1:4" ht="14.25" x14ac:dyDescent="0.2">
      <c r="A284" s="76"/>
      <c r="B284" s="76"/>
      <c r="C284" s="76"/>
      <c r="D284" s="76"/>
    </row>
    <row r="285" spans="1:4" ht="14.25" x14ac:dyDescent="0.2">
      <c r="A285" s="76"/>
      <c r="B285" s="76"/>
      <c r="C285" s="76"/>
      <c r="D285" s="76"/>
    </row>
    <row r="286" spans="1:4" ht="14.25" x14ac:dyDescent="0.2">
      <c r="A286" s="76"/>
      <c r="B286" s="76"/>
      <c r="C286" s="76"/>
      <c r="D286" s="76"/>
    </row>
    <row r="287" spans="1:4" ht="14.25" x14ac:dyDescent="0.2">
      <c r="A287" s="76"/>
      <c r="B287" s="76"/>
      <c r="C287" s="76"/>
      <c r="D287" s="76"/>
    </row>
    <row r="288" spans="1:4" ht="14.25" x14ac:dyDescent="0.2">
      <c r="A288" s="76"/>
      <c r="B288" s="76"/>
      <c r="C288" s="76"/>
      <c r="D288" s="76"/>
    </row>
    <row r="289" spans="1:4" ht="14.25" x14ac:dyDescent="0.2">
      <c r="A289" s="76"/>
      <c r="B289" s="76"/>
      <c r="C289" s="76"/>
      <c r="D289" s="76"/>
    </row>
    <row r="290" spans="1:4" ht="14.25" x14ac:dyDescent="0.2">
      <c r="A290" s="76"/>
      <c r="B290" s="76"/>
      <c r="C290" s="76"/>
      <c r="D290" s="76"/>
    </row>
    <row r="291" spans="1:4" ht="14.25" x14ac:dyDescent="0.2">
      <c r="A291" s="76"/>
      <c r="B291" s="76"/>
      <c r="C291" s="76"/>
      <c r="D291" s="76"/>
    </row>
    <row r="292" spans="1:4" ht="14.25" x14ac:dyDescent="0.2">
      <c r="A292" s="76"/>
      <c r="B292" s="76"/>
      <c r="C292" s="76"/>
      <c r="D292" s="76"/>
    </row>
    <row r="293" spans="1:4" ht="14.25" x14ac:dyDescent="0.2">
      <c r="A293" s="76"/>
      <c r="B293" s="76"/>
      <c r="C293" s="76"/>
      <c r="D293" s="76"/>
    </row>
    <row r="294" spans="1:4" ht="14.25" x14ac:dyDescent="0.2">
      <c r="A294" s="76"/>
      <c r="B294" s="76"/>
      <c r="C294" s="76"/>
      <c r="D294" s="76"/>
    </row>
    <row r="295" spans="1:4" ht="14.25" x14ac:dyDescent="0.2">
      <c r="A295" s="76"/>
      <c r="B295" s="76"/>
      <c r="C295" s="76"/>
      <c r="D295" s="76"/>
    </row>
    <row r="296" spans="1:4" ht="14.25" x14ac:dyDescent="0.2">
      <c r="A296" s="76"/>
      <c r="B296" s="76"/>
      <c r="C296" s="76"/>
      <c r="D296" s="76"/>
    </row>
    <row r="297" spans="1:4" ht="14.25" x14ac:dyDescent="0.2">
      <c r="A297" s="76"/>
      <c r="B297" s="76"/>
      <c r="C297" s="76"/>
      <c r="D297" s="76"/>
    </row>
    <row r="298" spans="1:4" ht="14.25" x14ac:dyDescent="0.2">
      <c r="A298" s="76"/>
      <c r="B298" s="76"/>
      <c r="C298" s="76"/>
      <c r="D298" s="76"/>
    </row>
    <row r="299" spans="1:4" ht="14.25" x14ac:dyDescent="0.2">
      <c r="A299" s="76"/>
      <c r="B299" s="76"/>
      <c r="C299" s="76"/>
      <c r="D299" s="76"/>
    </row>
    <row r="300" spans="1:4" ht="14.25" x14ac:dyDescent="0.2">
      <c r="A300" s="76"/>
      <c r="B300" s="76"/>
      <c r="C300" s="76"/>
      <c r="D300" s="76"/>
    </row>
    <row r="301" spans="1:4" ht="14.25" x14ac:dyDescent="0.2">
      <c r="A301" s="76"/>
      <c r="B301" s="76"/>
      <c r="C301" s="76"/>
      <c r="D301" s="76"/>
    </row>
    <row r="302" spans="1:4" ht="14.25" x14ac:dyDescent="0.2">
      <c r="A302" s="76"/>
      <c r="B302" s="76"/>
      <c r="C302" s="76"/>
      <c r="D302" s="76"/>
    </row>
    <row r="303" spans="1:4" ht="14.25" x14ac:dyDescent="0.2">
      <c r="A303" s="76"/>
      <c r="B303" s="76"/>
      <c r="C303" s="76"/>
      <c r="D303" s="76"/>
    </row>
    <row r="304" spans="1:4" ht="14.25" x14ac:dyDescent="0.2">
      <c r="A304" s="76"/>
      <c r="B304" s="76"/>
      <c r="C304" s="76"/>
      <c r="D304" s="76"/>
    </row>
    <row r="305" spans="1:4" ht="14.25" x14ac:dyDescent="0.2">
      <c r="A305" s="76"/>
      <c r="B305" s="76"/>
      <c r="C305" s="76"/>
      <c r="D305" s="76"/>
    </row>
    <row r="306" spans="1:4" ht="14.25" x14ac:dyDescent="0.2">
      <c r="A306" s="76"/>
      <c r="B306" s="76"/>
      <c r="C306" s="76"/>
      <c r="D306" s="76"/>
    </row>
    <row r="307" spans="1:4" ht="14.25" x14ac:dyDescent="0.2">
      <c r="A307" s="76"/>
      <c r="B307" s="76"/>
      <c r="C307" s="76"/>
      <c r="D307" s="76"/>
    </row>
    <row r="308" spans="1:4" ht="14.25" x14ac:dyDescent="0.2">
      <c r="A308" s="76"/>
      <c r="B308" s="76"/>
      <c r="C308" s="76"/>
      <c r="D308" s="76"/>
    </row>
    <row r="309" spans="1:4" ht="14.25" x14ac:dyDescent="0.2">
      <c r="A309" s="76"/>
      <c r="B309" s="76"/>
      <c r="C309" s="76"/>
      <c r="D309" s="76"/>
    </row>
    <row r="310" spans="1:4" ht="14.25" x14ac:dyDescent="0.2">
      <c r="A310" s="76"/>
      <c r="B310" s="76"/>
      <c r="C310" s="76"/>
      <c r="D310" s="76"/>
    </row>
    <row r="311" spans="1:4" ht="14.25" x14ac:dyDescent="0.2">
      <c r="A311" s="76"/>
      <c r="B311" s="76"/>
      <c r="C311" s="76"/>
      <c r="D311" s="76"/>
    </row>
    <row r="312" spans="1:4" ht="14.25" x14ac:dyDescent="0.2">
      <c r="A312" s="76"/>
      <c r="B312" s="76"/>
      <c r="C312" s="76"/>
      <c r="D312" s="76"/>
    </row>
    <row r="313" spans="1:4" ht="14.25" x14ac:dyDescent="0.2">
      <c r="A313" s="76"/>
      <c r="B313" s="76"/>
      <c r="C313" s="76"/>
      <c r="D313" s="76"/>
    </row>
    <row r="314" spans="1:4" ht="14.25" x14ac:dyDescent="0.2">
      <c r="A314" s="76"/>
      <c r="B314" s="76"/>
      <c r="C314" s="76"/>
      <c r="D314" s="76"/>
    </row>
    <row r="315" spans="1:4" ht="14.25" x14ac:dyDescent="0.2">
      <c r="A315" s="76"/>
      <c r="B315" s="76"/>
      <c r="C315" s="76"/>
      <c r="D315" s="76"/>
    </row>
    <row r="316" spans="1:4" ht="14.25" x14ac:dyDescent="0.2">
      <c r="A316" s="76"/>
      <c r="B316" s="76"/>
      <c r="C316" s="76"/>
      <c r="D316" s="76"/>
    </row>
    <row r="317" spans="1:4" ht="14.25" x14ac:dyDescent="0.2">
      <c r="A317" s="76"/>
      <c r="B317" s="76"/>
      <c r="C317" s="76"/>
      <c r="D317" s="76"/>
    </row>
    <row r="318" spans="1:4" ht="14.25" x14ac:dyDescent="0.2">
      <c r="A318" s="76"/>
      <c r="B318" s="76"/>
      <c r="C318" s="76"/>
      <c r="D318" s="76"/>
    </row>
    <row r="319" spans="1:4" ht="14.25" x14ac:dyDescent="0.2">
      <c r="A319" s="76"/>
      <c r="B319" s="76"/>
      <c r="C319" s="76"/>
      <c r="D319" s="76"/>
    </row>
    <row r="320" spans="1:4" ht="14.25" x14ac:dyDescent="0.2">
      <c r="A320" s="76"/>
      <c r="B320" s="76"/>
      <c r="C320" s="76"/>
      <c r="D320" s="76"/>
    </row>
    <row r="321" spans="1:4" ht="14.25" x14ac:dyDescent="0.2">
      <c r="A321" s="76"/>
      <c r="B321" s="76"/>
      <c r="C321" s="76"/>
      <c r="D321" s="76"/>
    </row>
    <row r="322" spans="1:4" ht="14.25" x14ac:dyDescent="0.2">
      <c r="A322" s="76"/>
      <c r="B322" s="76"/>
      <c r="C322" s="76"/>
      <c r="D322" s="76"/>
    </row>
    <row r="323" spans="1:4" ht="14.25" x14ac:dyDescent="0.2">
      <c r="A323" s="76"/>
      <c r="B323" s="76"/>
      <c r="C323" s="76"/>
      <c r="D323" s="76"/>
    </row>
    <row r="324" spans="1:4" ht="14.25" x14ac:dyDescent="0.2">
      <c r="A324" s="76"/>
      <c r="B324" s="76"/>
      <c r="C324" s="76"/>
      <c r="D324" s="76"/>
    </row>
    <row r="325" spans="1:4" ht="14.25" x14ac:dyDescent="0.2">
      <c r="A325" s="76"/>
      <c r="B325" s="76"/>
      <c r="C325" s="76"/>
      <c r="D325" s="76"/>
    </row>
    <row r="326" spans="1:4" ht="14.25" x14ac:dyDescent="0.2">
      <c r="A326" s="76"/>
      <c r="B326" s="76"/>
      <c r="C326" s="76"/>
      <c r="D326" s="76"/>
    </row>
    <row r="327" spans="1:4" ht="14.25" x14ac:dyDescent="0.2">
      <c r="A327" s="76"/>
      <c r="B327" s="76"/>
      <c r="C327" s="76"/>
      <c r="D327" s="76"/>
    </row>
    <row r="328" spans="1:4" ht="14.25" x14ac:dyDescent="0.2">
      <c r="A328" s="76"/>
      <c r="B328" s="76"/>
      <c r="C328" s="76"/>
      <c r="D328" s="76"/>
    </row>
    <row r="329" spans="1:4" ht="14.25" x14ac:dyDescent="0.2">
      <c r="A329" s="76"/>
      <c r="B329" s="76"/>
      <c r="C329" s="76"/>
      <c r="D329" s="76"/>
    </row>
    <row r="330" spans="1:4" ht="14.25" x14ac:dyDescent="0.2">
      <c r="A330" s="76"/>
      <c r="B330" s="76"/>
      <c r="C330" s="76"/>
      <c r="D330" s="76"/>
    </row>
    <row r="331" spans="1:4" ht="14.25" x14ac:dyDescent="0.2">
      <c r="A331" s="76"/>
      <c r="B331" s="76"/>
      <c r="C331" s="76"/>
      <c r="D331" s="76"/>
    </row>
    <row r="332" spans="1:4" ht="14.25" x14ac:dyDescent="0.2">
      <c r="A332" s="76"/>
      <c r="B332" s="76"/>
      <c r="C332" s="76"/>
      <c r="D332" s="76"/>
    </row>
    <row r="333" spans="1:4" ht="14.25" x14ac:dyDescent="0.2">
      <c r="A333" s="76"/>
      <c r="B333" s="76"/>
      <c r="C333" s="76"/>
      <c r="D333" s="76"/>
    </row>
    <row r="334" spans="1:4" ht="14.25" x14ac:dyDescent="0.2">
      <c r="A334" s="76"/>
      <c r="B334" s="76"/>
      <c r="C334" s="76"/>
      <c r="D334" s="76"/>
    </row>
    <row r="335" spans="1:4" ht="14.25" x14ac:dyDescent="0.2">
      <c r="A335" s="76"/>
      <c r="B335" s="76"/>
      <c r="C335" s="76"/>
      <c r="D335" s="76"/>
    </row>
    <row r="336" spans="1:4" ht="14.25" x14ac:dyDescent="0.2">
      <c r="A336" s="76"/>
      <c r="B336" s="76"/>
      <c r="C336" s="76"/>
      <c r="D336" s="76"/>
    </row>
    <row r="337" spans="1:4" ht="14.25" x14ac:dyDescent="0.2">
      <c r="A337" s="76"/>
      <c r="B337" s="76"/>
      <c r="C337" s="76"/>
      <c r="D337" s="76"/>
    </row>
    <row r="338" spans="1:4" ht="14.25" x14ac:dyDescent="0.2">
      <c r="A338" s="76"/>
      <c r="B338" s="76"/>
      <c r="C338" s="76"/>
      <c r="D338" s="76"/>
    </row>
    <row r="339" spans="1:4" ht="14.25" x14ac:dyDescent="0.2">
      <c r="A339" s="76"/>
      <c r="B339" s="76"/>
      <c r="C339" s="76"/>
      <c r="D339" s="76"/>
    </row>
    <row r="340" spans="1:4" ht="14.25" x14ac:dyDescent="0.2">
      <c r="A340" s="76"/>
      <c r="B340" s="76"/>
      <c r="C340" s="76"/>
      <c r="D340" s="76"/>
    </row>
    <row r="341" spans="1:4" ht="14.25" x14ac:dyDescent="0.2">
      <c r="A341" s="76"/>
      <c r="B341" s="76"/>
      <c r="C341" s="76"/>
      <c r="D341" s="76"/>
    </row>
    <row r="342" spans="1:4" ht="14.25" x14ac:dyDescent="0.2">
      <c r="A342" s="76"/>
      <c r="B342" s="76"/>
      <c r="C342" s="76"/>
      <c r="D342" s="76"/>
    </row>
    <row r="343" spans="1:4" ht="14.25" x14ac:dyDescent="0.2">
      <c r="A343" s="76"/>
      <c r="B343" s="76"/>
      <c r="C343" s="76"/>
      <c r="D343" s="76"/>
    </row>
    <row r="344" spans="1:4" ht="14.25" x14ac:dyDescent="0.2">
      <c r="A344" s="76"/>
      <c r="B344" s="76"/>
      <c r="C344" s="76"/>
      <c r="D344" s="76"/>
    </row>
    <row r="345" spans="1:4" ht="14.25" x14ac:dyDescent="0.2">
      <c r="A345" s="76"/>
      <c r="B345" s="76"/>
      <c r="C345" s="76"/>
      <c r="D345" s="76"/>
    </row>
    <row r="346" spans="1:4" ht="14.25" x14ac:dyDescent="0.2">
      <c r="A346" s="76"/>
      <c r="B346" s="76"/>
      <c r="C346" s="76"/>
      <c r="D346" s="76"/>
    </row>
    <row r="347" spans="1:4" ht="14.25" x14ac:dyDescent="0.2">
      <c r="A347" s="76"/>
      <c r="B347" s="76"/>
      <c r="C347" s="76"/>
      <c r="D347" s="76"/>
    </row>
    <row r="348" spans="1:4" ht="14.25" x14ac:dyDescent="0.2">
      <c r="A348" s="76"/>
      <c r="B348" s="76"/>
      <c r="C348" s="76"/>
      <c r="D348" s="76"/>
    </row>
    <row r="349" spans="1:4" ht="14.25" x14ac:dyDescent="0.2">
      <c r="A349" s="76"/>
      <c r="B349" s="76"/>
      <c r="C349" s="76"/>
      <c r="D349" s="76"/>
    </row>
    <row r="350" spans="1:4" ht="14.25" x14ac:dyDescent="0.2">
      <c r="A350" s="76"/>
      <c r="B350" s="76"/>
      <c r="C350" s="76"/>
      <c r="D350" s="76"/>
    </row>
    <row r="351" spans="1:4" ht="14.25" x14ac:dyDescent="0.2">
      <c r="A351" s="76"/>
      <c r="B351" s="76"/>
      <c r="C351" s="76"/>
      <c r="D351" s="76"/>
    </row>
    <row r="352" spans="1:4" ht="14.25" x14ac:dyDescent="0.2">
      <c r="A352" s="76"/>
      <c r="B352" s="76"/>
      <c r="C352" s="76"/>
      <c r="D352" s="76"/>
    </row>
    <row r="353" spans="1:4" ht="14.25" x14ac:dyDescent="0.2">
      <c r="A353" s="76"/>
      <c r="B353" s="76"/>
      <c r="C353" s="76"/>
      <c r="D353" s="76"/>
    </row>
    <row r="354" spans="1:4" ht="14.25" x14ac:dyDescent="0.2">
      <c r="A354" s="76"/>
      <c r="B354" s="76"/>
      <c r="C354" s="76"/>
      <c r="D354" s="76"/>
    </row>
    <row r="355" spans="1:4" ht="14.25" x14ac:dyDescent="0.2">
      <c r="A355" s="76"/>
      <c r="B355" s="76"/>
      <c r="C355" s="76"/>
      <c r="D355" s="76"/>
    </row>
    <row r="356" spans="1:4" ht="14.25" x14ac:dyDescent="0.2">
      <c r="A356" s="76"/>
      <c r="B356" s="76"/>
      <c r="C356" s="76"/>
      <c r="D356" s="76"/>
    </row>
    <row r="357" spans="1:4" ht="14.25" x14ac:dyDescent="0.2">
      <c r="A357" s="76"/>
      <c r="B357" s="76"/>
      <c r="C357" s="76"/>
      <c r="D357" s="76"/>
    </row>
    <row r="358" spans="1:4" ht="14.25" x14ac:dyDescent="0.2">
      <c r="A358" s="76"/>
      <c r="B358" s="76"/>
      <c r="C358" s="76"/>
      <c r="D358" s="76"/>
    </row>
    <row r="359" spans="1:4" ht="14.25" x14ac:dyDescent="0.2">
      <c r="A359" s="76"/>
      <c r="B359" s="76"/>
      <c r="C359" s="76"/>
      <c r="D359" s="76"/>
    </row>
    <row r="360" spans="1:4" ht="14.25" x14ac:dyDescent="0.2">
      <c r="A360" s="76"/>
      <c r="B360" s="76"/>
      <c r="C360" s="76"/>
      <c r="D360" s="76"/>
    </row>
    <row r="361" spans="1:4" ht="14.25" x14ac:dyDescent="0.2">
      <c r="A361" s="76"/>
      <c r="B361" s="76"/>
      <c r="C361" s="76"/>
      <c r="D361" s="76"/>
    </row>
    <row r="362" spans="1:4" ht="14.25" x14ac:dyDescent="0.2">
      <c r="A362" s="76"/>
      <c r="B362" s="76"/>
      <c r="C362" s="76"/>
      <c r="D362" s="76"/>
    </row>
    <row r="363" spans="1:4" ht="14.25" x14ac:dyDescent="0.2">
      <c r="A363" s="76"/>
      <c r="B363" s="76"/>
      <c r="C363" s="76"/>
      <c r="D363" s="76"/>
    </row>
    <row r="364" spans="1:4" ht="14.25" x14ac:dyDescent="0.2">
      <c r="A364" s="76"/>
      <c r="B364" s="76"/>
      <c r="C364" s="76"/>
      <c r="D364" s="76"/>
    </row>
    <row r="365" spans="1:4" ht="14.25" x14ac:dyDescent="0.2">
      <c r="A365" s="76"/>
      <c r="B365" s="76"/>
      <c r="C365" s="76"/>
      <c r="D365" s="76"/>
    </row>
    <row r="366" spans="1:4" ht="14.25" x14ac:dyDescent="0.2">
      <c r="A366" s="76"/>
      <c r="B366" s="76"/>
      <c r="C366" s="76"/>
      <c r="D366" s="76"/>
    </row>
    <row r="367" spans="1:4" ht="14.25" x14ac:dyDescent="0.2">
      <c r="A367" s="76"/>
      <c r="B367" s="76"/>
      <c r="C367" s="76"/>
      <c r="D367" s="76"/>
    </row>
    <row r="368" spans="1:4" ht="14.25" x14ac:dyDescent="0.2">
      <c r="A368" s="76"/>
      <c r="B368" s="76"/>
      <c r="C368" s="76"/>
      <c r="D368" s="76"/>
    </row>
    <row r="369" spans="1:4" ht="14.25" x14ac:dyDescent="0.2">
      <c r="A369" s="76"/>
      <c r="B369" s="76"/>
      <c r="C369" s="76"/>
      <c r="D369" s="76"/>
    </row>
    <row r="370" spans="1:4" ht="14.25" x14ac:dyDescent="0.2">
      <c r="A370" s="76"/>
      <c r="B370" s="76"/>
      <c r="C370" s="76"/>
      <c r="D370" s="76"/>
    </row>
    <row r="371" spans="1:4" ht="14.25" x14ac:dyDescent="0.2">
      <c r="A371" s="76"/>
      <c r="B371" s="76"/>
      <c r="C371" s="76"/>
      <c r="D371" s="76"/>
    </row>
    <row r="372" spans="1:4" ht="14.25" x14ac:dyDescent="0.2">
      <c r="A372" s="76"/>
      <c r="B372" s="76"/>
      <c r="C372" s="76"/>
      <c r="D372" s="76"/>
    </row>
    <row r="373" spans="1:4" ht="14.25" x14ac:dyDescent="0.2">
      <c r="A373" s="76"/>
      <c r="B373" s="76"/>
      <c r="C373" s="76"/>
      <c r="D373" s="76"/>
    </row>
    <row r="374" spans="1:4" ht="14.25" x14ac:dyDescent="0.2">
      <c r="A374" s="76"/>
      <c r="B374" s="76"/>
      <c r="C374" s="76"/>
      <c r="D374" s="76"/>
    </row>
    <row r="375" spans="1:4" ht="14.25" x14ac:dyDescent="0.2">
      <c r="A375" s="76"/>
      <c r="B375" s="76"/>
      <c r="C375" s="76"/>
      <c r="D375" s="76"/>
    </row>
    <row r="376" spans="1:4" ht="14.25" x14ac:dyDescent="0.2">
      <c r="A376" s="76"/>
      <c r="B376" s="76"/>
      <c r="C376" s="76"/>
      <c r="D376" s="76"/>
    </row>
    <row r="377" spans="1:4" ht="14.25" x14ac:dyDescent="0.2">
      <c r="A377" s="76"/>
      <c r="B377" s="76"/>
      <c r="C377" s="76"/>
      <c r="D377" s="76"/>
    </row>
    <row r="378" spans="1:4" ht="14.25" x14ac:dyDescent="0.2">
      <c r="A378" s="76"/>
      <c r="B378" s="76"/>
      <c r="C378" s="76"/>
      <c r="D378" s="76"/>
    </row>
    <row r="379" spans="1:4" ht="14.25" x14ac:dyDescent="0.2">
      <c r="A379" s="76"/>
      <c r="B379" s="76"/>
      <c r="C379" s="76"/>
      <c r="D379" s="76"/>
    </row>
    <row r="380" spans="1:4" ht="14.25" x14ac:dyDescent="0.2">
      <c r="A380" s="76"/>
      <c r="B380" s="76"/>
      <c r="C380" s="76"/>
      <c r="D380" s="76"/>
    </row>
    <row r="381" spans="1:4" ht="14.25" x14ac:dyDescent="0.2">
      <c r="A381" s="76"/>
      <c r="B381" s="76"/>
      <c r="C381" s="76"/>
      <c r="D381" s="76"/>
    </row>
    <row r="382" spans="1:4" ht="14.25" x14ac:dyDescent="0.2">
      <c r="A382" s="76"/>
      <c r="B382" s="76"/>
      <c r="C382" s="76"/>
      <c r="D382" s="76"/>
    </row>
    <row r="383" spans="1:4" ht="14.25" x14ac:dyDescent="0.2">
      <c r="A383" s="76"/>
      <c r="B383" s="76"/>
      <c r="C383" s="76"/>
      <c r="D383" s="76"/>
    </row>
    <row r="384" spans="1:4" ht="14.25" x14ac:dyDescent="0.2">
      <c r="A384" s="76"/>
      <c r="B384" s="76"/>
      <c r="C384" s="76"/>
      <c r="D384" s="76"/>
    </row>
    <row r="385" spans="1:4" ht="14.25" x14ac:dyDescent="0.2">
      <c r="A385" s="76"/>
      <c r="B385" s="76"/>
      <c r="C385" s="76"/>
      <c r="D385" s="76"/>
    </row>
    <row r="386" spans="1:4" ht="14.25" x14ac:dyDescent="0.2">
      <c r="A386" s="76"/>
      <c r="B386" s="76"/>
      <c r="C386" s="76"/>
      <c r="D386" s="76"/>
    </row>
    <row r="387" spans="1:4" ht="14.25" x14ac:dyDescent="0.2">
      <c r="A387" s="76"/>
      <c r="B387" s="76"/>
      <c r="C387" s="76"/>
      <c r="D387" s="76"/>
    </row>
    <row r="388" spans="1:4" ht="14.25" x14ac:dyDescent="0.2">
      <c r="A388" s="76"/>
      <c r="B388" s="76"/>
      <c r="C388" s="76"/>
      <c r="D388" s="76"/>
    </row>
    <row r="389" spans="1:4" ht="14.25" x14ac:dyDescent="0.2">
      <c r="A389" s="76"/>
      <c r="B389" s="76"/>
      <c r="C389" s="76"/>
      <c r="D389" s="76"/>
    </row>
    <row r="390" spans="1:4" ht="14.25" x14ac:dyDescent="0.2">
      <c r="A390" s="76"/>
      <c r="B390" s="76"/>
      <c r="C390" s="76"/>
      <c r="D390" s="76"/>
    </row>
    <row r="391" spans="1:4" ht="14.25" x14ac:dyDescent="0.2">
      <c r="A391" s="76"/>
      <c r="B391" s="76"/>
      <c r="C391" s="76"/>
      <c r="D391" s="76"/>
    </row>
    <row r="392" spans="1:4" ht="14.25" x14ac:dyDescent="0.2">
      <c r="A392" s="76"/>
      <c r="B392" s="76"/>
      <c r="C392" s="76"/>
      <c r="D392" s="76"/>
    </row>
    <row r="393" spans="1:4" ht="14.25" x14ac:dyDescent="0.2">
      <c r="A393" s="76"/>
      <c r="B393" s="76"/>
      <c r="C393" s="76"/>
      <c r="D393" s="76"/>
    </row>
    <row r="394" spans="1:4" ht="14.25" x14ac:dyDescent="0.2">
      <c r="A394" s="76"/>
      <c r="B394" s="76"/>
      <c r="C394" s="76"/>
      <c r="D394" s="76"/>
    </row>
    <row r="395" spans="1:4" ht="14.25" x14ac:dyDescent="0.2">
      <c r="A395" s="76"/>
      <c r="B395" s="76"/>
      <c r="C395" s="76"/>
      <c r="D395" s="76"/>
    </row>
    <row r="396" spans="1:4" ht="14.25" x14ac:dyDescent="0.2">
      <c r="A396" s="76"/>
      <c r="B396" s="76"/>
      <c r="C396" s="76"/>
      <c r="D396" s="76"/>
    </row>
    <row r="397" spans="1:4" ht="14.25" x14ac:dyDescent="0.2">
      <c r="A397" s="76"/>
      <c r="B397" s="76"/>
      <c r="C397" s="76"/>
      <c r="D397" s="76"/>
    </row>
    <row r="398" spans="1:4" ht="14.25" x14ac:dyDescent="0.2">
      <c r="A398" s="76"/>
      <c r="B398" s="76"/>
      <c r="C398" s="76"/>
      <c r="D398" s="76"/>
    </row>
    <row r="399" spans="1:4" ht="14.25" x14ac:dyDescent="0.2">
      <c r="A399" s="76"/>
      <c r="B399" s="76"/>
      <c r="C399" s="76"/>
      <c r="D399" s="76"/>
    </row>
    <row r="400" spans="1:4" ht="14.25" x14ac:dyDescent="0.2">
      <c r="A400" s="76"/>
      <c r="B400" s="76"/>
      <c r="C400" s="76"/>
      <c r="D400" s="76"/>
    </row>
    <row r="401" spans="1:4" ht="14.25" x14ac:dyDescent="0.2">
      <c r="A401" s="76"/>
      <c r="B401" s="76"/>
      <c r="C401" s="76"/>
      <c r="D401" s="76"/>
    </row>
    <row r="402" spans="1:4" ht="14.25" x14ac:dyDescent="0.2">
      <c r="A402" s="76"/>
      <c r="B402" s="76"/>
      <c r="C402" s="76"/>
      <c r="D402" s="76"/>
    </row>
    <row r="403" spans="1:4" ht="14.25" x14ac:dyDescent="0.2">
      <c r="A403" s="76"/>
      <c r="B403" s="76"/>
      <c r="C403" s="76"/>
      <c r="D403" s="76"/>
    </row>
    <row r="404" spans="1:4" ht="14.25" x14ac:dyDescent="0.2">
      <c r="A404" s="76"/>
      <c r="B404" s="76"/>
      <c r="C404" s="76"/>
      <c r="D404" s="76"/>
    </row>
    <row r="405" spans="1:4" ht="14.25" x14ac:dyDescent="0.2">
      <c r="A405" s="76"/>
      <c r="B405" s="76"/>
      <c r="C405" s="76"/>
      <c r="D405" s="76"/>
    </row>
    <row r="406" spans="1:4" ht="14.25" x14ac:dyDescent="0.2">
      <c r="A406" s="76"/>
      <c r="B406" s="76"/>
      <c r="C406" s="76"/>
      <c r="D406" s="76"/>
    </row>
    <row r="407" spans="1:4" ht="14.25" x14ac:dyDescent="0.2">
      <c r="A407" s="76"/>
      <c r="B407" s="76"/>
      <c r="C407" s="76"/>
      <c r="D407" s="76"/>
    </row>
    <row r="408" spans="1:4" ht="14.25" x14ac:dyDescent="0.2">
      <c r="A408" s="76"/>
      <c r="B408" s="76"/>
      <c r="C408" s="76"/>
      <c r="D408" s="76"/>
    </row>
    <row r="409" spans="1:4" ht="14.25" x14ac:dyDescent="0.2">
      <c r="A409" s="76"/>
      <c r="B409" s="76"/>
      <c r="C409" s="76"/>
      <c r="D409" s="76"/>
    </row>
    <row r="410" spans="1:4" ht="14.25" x14ac:dyDescent="0.2">
      <c r="A410" s="76"/>
      <c r="B410" s="76"/>
      <c r="C410" s="76"/>
      <c r="D410" s="76"/>
    </row>
    <row r="411" spans="1:4" ht="14.25" x14ac:dyDescent="0.2">
      <c r="A411" s="76"/>
      <c r="B411" s="76"/>
      <c r="C411" s="76"/>
      <c r="D411" s="76"/>
    </row>
    <row r="412" spans="1:4" ht="14.25" x14ac:dyDescent="0.2">
      <c r="A412" s="76"/>
      <c r="B412" s="76"/>
      <c r="C412" s="76"/>
      <c r="D412" s="76"/>
    </row>
    <row r="413" spans="1:4" ht="14.25" x14ac:dyDescent="0.2">
      <c r="A413" s="76"/>
      <c r="B413" s="76"/>
      <c r="C413" s="76"/>
      <c r="D413" s="76"/>
    </row>
    <row r="414" spans="1:4" ht="14.25" x14ac:dyDescent="0.2">
      <c r="A414" s="76"/>
      <c r="B414" s="76"/>
      <c r="C414" s="76"/>
      <c r="D414" s="76"/>
    </row>
    <row r="415" spans="1:4" ht="14.25" x14ac:dyDescent="0.2">
      <c r="A415" s="76"/>
      <c r="B415" s="76"/>
      <c r="C415" s="76"/>
      <c r="D415" s="76"/>
    </row>
    <row r="416" spans="1:4" ht="14.25" x14ac:dyDescent="0.2">
      <c r="A416" s="76"/>
      <c r="B416" s="76"/>
      <c r="C416" s="76"/>
      <c r="D416" s="76"/>
    </row>
    <row r="417" spans="1:4" ht="14.25" x14ac:dyDescent="0.2">
      <c r="A417" s="76"/>
      <c r="B417" s="76"/>
      <c r="C417" s="76"/>
      <c r="D417" s="76"/>
    </row>
    <row r="418" spans="1:4" ht="14.25" x14ac:dyDescent="0.2">
      <c r="A418" s="76"/>
      <c r="B418" s="76"/>
      <c r="C418" s="76"/>
      <c r="D418" s="76"/>
    </row>
    <row r="419" spans="1:4" ht="14.25" x14ac:dyDescent="0.2">
      <c r="A419" s="76"/>
      <c r="B419" s="76"/>
      <c r="C419" s="76"/>
      <c r="D419" s="76"/>
    </row>
    <row r="420" spans="1:4" ht="14.25" x14ac:dyDescent="0.2">
      <c r="A420" s="76"/>
      <c r="B420" s="76"/>
      <c r="C420" s="76"/>
      <c r="D420" s="76"/>
    </row>
    <row r="421" spans="1:4" ht="14.25" x14ac:dyDescent="0.2">
      <c r="A421" s="76"/>
      <c r="B421" s="76"/>
      <c r="C421" s="76"/>
      <c r="D421" s="76"/>
    </row>
    <row r="422" spans="1:4" ht="14.25" x14ac:dyDescent="0.2">
      <c r="A422" s="76"/>
      <c r="B422" s="76"/>
      <c r="C422" s="76"/>
      <c r="D422" s="76"/>
    </row>
    <row r="423" spans="1:4" ht="14.25" x14ac:dyDescent="0.2">
      <c r="A423" s="76"/>
      <c r="B423" s="76"/>
      <c r="C423" s="76"/>
      <c r="D423" s="76"/>
    </row>
    <row r="424" spans="1:4" ht="14.25" x14ac:dyDescent="0.2">
      <c r="A424" s="76"/>
      <c r="B424" s="76"/>
      <c r="C424" s="76"/>
      <c r="D424" s="76"/>
    </row>
    <row r="425" spans="1:4" ht="14.25" x14ac:dyDescent="0.2">
      <c r="A425" s="76"/>
      <c r="B425" s="76"/>
      <c r="C425" s="76"/>
      <c r="D425" s="76"/>
    </row>
    <row r="426" spans="1:4" ht="14.25" x14ac:dyDescent="0.2">
      <c r="A426" s="76"/>
      <c r="B426" s="76"/>
      <c r="C426" s="76"/>
      <c r="D426" s="76"/>
    </row>
    <row r="427" spans="1:4" ht="14.25" x14ac:dyDescent="0.2">
      <c r="A427" s="76"/>
      <c r="B427" s="76"/>
      <c r="C427" s="76"/>
      <c r="D427" s="76"/>
    </row>
    <row r="428" spans="1:4" ht="14.25" x14ac:dyDescent="0.2">
      <c r="A428" s="76"/>
      <c r="B428" s="76"/>
      <c r="C428" s="76"/>
      <c r="D428" s="76"/>
    </row>
    <row r="429" spans="1:4" ht="14.25" x14ac:dyDescent="0.2">
      <c r="A429" s="76"/>
      <c r="B429" s="76"/>
      <c r="C429" s="76"/>
      <c r="D429" s="76"/>
    </row>
    <row r="430" spans="1:4" ht="14.25" x14ac:dyDescent="0.2">
      <c r="A430" s="76"/>
      <c r="B430" s="76"/>
      <c r="C430" s="76"/>
      <c r="D430" s="76"/>
    </row>
    <row r="431" spans="1:4" ht="14.25" x14ac:dyDescent="0.2">
      <c r="A431" s="76"/>
      <c r="B431" s="76"/>
      <c r="C431" s="76"/>
      <c r="D431" s="76"/>
    </row>
    <row r="432" spans="1:4" ht="14.25" x14ac:dyDescent="0.2">
      <c r="A432" s="76"/>
      <c r="B432" s="76"/>
      <c r="C432" s="76"/>
      <c r="D432" s="76"/>
    </row>
    <row r="433" spans="1:4" ht="14.25" x14ac:dyDescent="0.2">
      <c r="A433" s="76"/>
      <c r="B433" s="76"/>
      <c r="C433" s="76"/>
      <c r="D433" s="76"/>
    </row>
    <row r="434" spans="1:4" ht="14.25" x14ac:dyDescent="0.2">
      <c r="A434" s="76"/>
      <c r="B434" s="76"/>
      <c r="C434" s="76"/>
      <c r="D434" s="76"/>
    </row>
    <row r="435" spans="1:4" ht="14.25" x14ac:dyDescent="0.2">
      <c r="A435" s="76"/>
      <c r="B435" s="76"/>
      <c r="C435" s="76"/>
      <c r="D435" s="76"/>
    </row>
    <row r="436" spans="1:4" ht="14.25" x14ac:dyDescent="0.2">
      <c r="A436" s="76"/>
      <c r="B436" s="76"/>
      <c r="C436" s="76"/>
      <c r="D436" s="76"/>
    </row>
    <row r="437" spans="1:4" ht="14.25" x14ac:dyDescent="0.2">
      <c r="A437" s="76"/>
      <c r="B437" s="76"/>
      <c r="C437" s="76"/>
      <c r="D437" s="76"/>
    </row>
    <row r="438" spans="1:4" ht="14.25" x14ac:dyDescent="0.2">
      <c r="A438" s="76"/>
      <c r="B438" s="76"/>
      <c r="C438" s="76"/>
      <c r="D438" s="76"/>
    </row>
    <row r="439" spans="1:4" ht="14.25" x14ac:dyDescent="0.2">
      <c r="A439" s="76"/>
      <c r="B439" s="76"/>
      <c r="C439" s="76"/>
      <c r="D439" s="76"/>
    </row>
    <row r="440" spans="1:4" ht="14.25" x14ac:dyDescent="0.2">
      <c r="A440" s="76"/>
      <c r="B440" s="76"/>
      <c r="C440" s="76"/>
      <c r="D440" s="76"/>
    </row>
    <row r="441" spans="1:4" ht="14.25" x14ac:dyDescent="0.2">
      <c r="A441" s="76"/>
      <c r="B441" s="76"/>
      <c r="C441" s="76"/>
      <c r="D441" s="76"/>
    </row>
    <row r="442" spans="1:4" ht="14.25" x14ac:dyDescent="0.2">
      <c r="A442" s="76"/>
      <c r="B442" s="76"/>
      <c r="C442" s="76"/>
      <c r="D442" s="76"/>
    </row>
    <row r="443" spans="1:4" ht="14.25" x14ac:dyDescent="0.2">
      <c r="A443" s="76"/>
      <c r="B443" s="76"/>
      <c r="C443" s="76"/>
      <c r="D443" s="76"/>
    </row>
    <row r="444" spans="1:4" ht="14.25" x14ac:dyDescent="0.2">
      <c r="A444" s="76"/>
      <c r="B444" s="76"/>
      <c r="C444" s="76"/>
      <c r="D444" s="76"/>
    </row>
    <row r="445" spans="1:4" ht="14.25" x14ac:dyDescent="0.2">
      <c r="A445" s="76"/>
      <c r="B445" s="76"/>
      <c r="C445" s="76"/>
      <c r="D445" s="76"/>
    </row>
    <row r="446" spans="1:4" ht="14.25" x14ac:dyDescent="0.2">
      <c r="A446" s="76"/>
      <c r="B446" s="76"/>
      <c r="C446" s="76"/>
      <c r="D446" s="76"/>
    </row>
    <row r="447" spans="1:4" ht="14.25" x14ac:dyDescent="0.2">
      <c r="A447" s="76"/>
      <c r="B447" s="76"/>
      <c r="C447" s="76"/>
      <c r="D447" s="76"/>
    </row>
    <row r="448" spans="1:4" ht="14.25" x14ac:dyDescent="0.2">
      <c r="A448" s="76"/>
      <c r="B448" s="76"/>
      <c r="C448" s="76"/>
      <c r="D448" s="76"/>
    </row>
    <row r="449" spans="1:4" ht="14.25" x14ac:dyDescent="0.2">
      <c r="A449" s="76"/>
      <c r="B449" s="76"/>
      <c r="C449" s="76"/>
      <c r="D449" s="76"/>
    </row>
    <row r="450" spans="1:4" ht="14.25" x14ac:dyDescent="0.2">
      <c r="A450" s="76"/>
      <c r="B450" s="76"/>
      <c r="C450" s="76"/>
      <c r="D450" s="76"/>
    </row>
    <row r="451" spans="1:4" ht="14.25" x14ac:dyDescent="0.2">
      <c r="A451" s="76"/>
      <c r="B451" s="76"/>
      <c r="C451" s="76"/>
      <c r="D451" s="76"/>
    </row>
    <row r="452" spans="1:4" ht="14.25" x14ac:dyDescent="0.2">
      <c r="A452" s="76"/>
      <c r="B452" s="76"/>
      <c r="C452" s="76"/>
      <c r="D452" s="76"/>
    </row>
    <row r="453" spans="1:4" ht="14.25" x14ac:dyDescent="0.2">
      <c r="A453" s="76"/>
      <c r="B453" s="76"/>
      <c r="C453" s="76"/>
      <c r="D453" s="76"/>
    </row>
    <row r="454" spans="1:4" ht="14.25" x14ac:dyDescent="0.2">
      <c r="A454" s="76"/>
      <c r="B454" s="76"/>
      <c r="C454" s="76"/>
      <c r="D454" s="76"/>
    </row>
    <row r="455" spans="1:4" ht="14.25" x14ac:dyDescent="0.2">
      <c r="A455" s="76"/>
      <c r="B455" s="76"/>
      <c r="C455" s="76"/>
      <c r="D455" s="76"/>
    </row>
    <row r="456" spans="1:4" ht="14.25" x14ac:dyDescent="0.2">
      <c r="A456" s="76"/>
      <c r="B456" s="76"/>
      <c r="C456" s="76"/>
      <c r="D456" s="76"/>
    </row>
    <row r="457" spans="1:4" ht="14.25" x14ac:dyDescent="0.2">
      <c r="A457" s="76"/>
      <c r="B457" s="76"/>
      <c r="C457" s="76"/>
      <c r="D457" s="76"/>
    </row>
    <row r="458" spans="1:4" ht="14.25" x14ac:dyDescent="0.2">
      <c r="A458" s="76"/>
      <c r="B458" s="76"/>
      <c r="C458" s="76"/>
      <c r="D458" s="76"/>
    </row>
    <row r="459" spans="1:4" ht="14.25" x14ac:dyDescent="0.2">
      <c r="A459" s="76"/>
      <c r="B459" s="76"/>
      <c r="C459" s="76"/>
      <c r="D459" s="76"/>
    </row>
    <row r="460" spans="1:4" ht="14.25" x14ac:dyDescent="0.2">
      <c r="A460" s="76"/>
      <c r="B460" s="76"/>
      <c r="C460" s="76"/>
      <c r="D460" s="76"/>
    </row>
    <row r="461" spans="1:4" ht="14.25" x14ac:dyDescent="0.2">
      <c r="A461" s="76"/>
      <c r="B461" s="76"/>
      <c r="C461" s="76"/>
      <c r="D461" s="76"/>
    </row>
    <row r="462" spans="1:4" ht="14.25" x14ac:dyDescent="0.2">
      <c r="A462" s="76"/>
      <c r="B462" s="76"/>
      <c r="C462" s="76"/>
      <c r="D462" s="76"/>
    </row>
    <row r="463" spans="1:4" ht="14.25" x14ac:dyDescent="0.2">
      <c r="A463" s="76"/>
      <c r="B463" s="76"/>
      <c r="C463" s="76"/>
      <c r="D463" s="76"/>
    </row>
    <row r="464" spans="1:4" ht="14.25" x14ac:dyDescent="0.2">
      <c r="A464" s="76"/>
      <c r="B464" s="76"/>
      <c r="C464" s="76"/>
      <c r="D464" s="76"/>
    </row>
    <row r="465" spans="1:4" ht="14.25" x14ac:dyDescent="0.2">
      <c r="A465" s="76"/>
      <c r="B465" s="76"/>
      <c r="C465" s="76"/>
      <c r="D465" s="76"/>
    </row>
    <row r="466" spans="1:4" ht="14.25" x14ac:dyDescent="0.2">
      <c r="A466" s="76"/>
      <c r="B466" s="76"/>
      <c r="C466" s="76"/>
      <c r="D466" s="76"/>
    </row>
    <row r="467" spans="1:4" ht="14.25" x14ac:dyDescent="0.2">
      <c r="A467" s="76"/>
      <c r="B467" s="76"/>
      <c r="C467" s="76"/>
      <c r="D467" s="76"/>
    </row>
    <row r="468" spans="1:4" ht="14.25" x14ac:dyDescent="0.2">
      <c r="A468" s="76"/>
      <c r="B468" s="76"/>
      <c r="C468" s="76"/>
      <c r="D468" s="76"/>
    </row>
    <row r="469" spans="1:4" ht="14.25" x14ac:dyDescent="0.2">
      <c r="A469" s="76"/>
      <c r="B469" s="76"/>
      <c r="C469" s="76"/>
      <c r="D469" s="76"/>
    </row>
    <row r="470" spans="1:4" ht="14.25" x14ac:dyDescent="0.2">
      <c r="A470" s="76"/>
      <c r="B470" s="76"/>
      <c r="C470" s="76"/>
      <c r="D470" s="76"/>
    </row>
    <row r="471" spans="1:4" ht="14.25" x14ac:dyDescent="0.2">
      <c r="A471" s="76"/>
      <c r="B471" s="76"/>
      <c r="C471" s="76"/>
      <c r="D471" s="76"/>
    </row>
    <row r="472" spans="1:4" ht="14.25" x14ac:dyDescent="0.2">
      <c r="A472" s="76"/>
      <c r="B472" s="76"/>
      <c r="C472" s="76"/>
      <c r="D472" s="76"/>
    </row>
    <row r="473" spans="1:4" ht="14.25" x14ac:dyDescent="0.2">
      <c r="A473" s="76"/>
      <c r="B473" s="76"/>
      <c r="C473" s="76"/>
      <c r="D473" s="76"/>
    </row>
    <row r="474" spans="1:4" ht="14.25" x14ac:dyDescent="0.2">
      <c r="A474" s="76"/>
      <c r="B474" s="76"/>
      <c r="C474" s="76"/>
      <c r="D474" s="76"/>
    </row>
    <row r="475" spans="1:4" ht="14.25" x14ac:dyDescent="0.2">
      <c r="A475" s="76"/>
      <c r="B475" s="76"/>
      <c r="C475" s="76"/>
      <c r="D475" s="76"/>
    </row>
    <row r="476" spans="1:4" ht="14.25" x14ac:dyDescent="0.2">
      <c r="A476" s="76"/>
      <c r="B476" s="76"/>
      <c r="C476" s="76"/>
      <c r="D476" s="76"/>
    </row>
    <row r="477" spans="1:4" ht="14.25" x14ac:dyDescent="0.2">
      <c r="A477" s="76"/>
      <c r="B477" s="76"/>
      <c r="C477" s="76"/>
      <c r="D477" s="76"/>
    </row>
    <row r="478" spans="1:4" ht="14.25" x14ac:dyDescent="0.2">
      <c r="A478" s="76"/>
      <c r="B478" s="76"/>
      <c r="C478" s="76"/>
      <c r="D478" s="76"/>
    </row>
    <row r="479" spans="1:4" ht="14.25" x14ac:dyDescent="0.2">
      <c r="A479" s="76"/>
      <c r="B479" s="76"/>
      <c r="C479" s="76"/>
      <c r="D479" s="76"/>
    </row>
    <row r="480" spans="1:4" ht="14.25" x14ac:dyDescent="0.2">
      <c r="A480" s="76"/>
      <c r="B480" s="76"/>
      <c r="C480" s="76"/>
      <c r="D480" s="76"/>
    </row>
    <row r="481" spans="1:4" ht="14.25" x14ac:dyDescent="0.2">
      <c r="A481" s="76"/>
      <c r="B481" s="76"/>
      <c r="C481" s="76"/>
      <c r="D481" s="76"/>
    </row>
    <row r="482" spans="1:4" ht="14.25" x14ac:dyDescent="0.2">
      <c r="A482" s="76"/>
      <c r="B482" s="76"/>
      <c r="C482" s="76"/>
      <c r="D482" s="76"/>
    </row>
    <row r="483" spans="1:4" ht="14.25" x14ac:dyDescent="0.2">
      <c r="A483" s="76"/>
      <c r="B483" s="76"/>
      <c r="C483" s="76"/>
      <c r="D483" s="76"/>
    </row>
    <row r="484" spans="1:4" ht="14.25" x14ac:dyDescent="0.2">
      <c r="A484" s="76"/>
      <c r="B484" s="76"/>
      <c r="C484" s="76"/>
      <c r="D484" s="76"/>
    </row>
    <row r="485" spans="1:4" ht="14.25" x14ac:dyDescent="0.2">
      <c r="A485" s="76"/>
      <c r="B485" s="76"/>
      <c r="C485" s="76"/>
      <c r="D485" s="76"/>
    </row>
    <row r="486" spans="1:4" ht="14.25" x14ac:dyDescent="0.2">
      <c r="A486" s="76"/>
      <c r="B486" s="76"/>
      <c r="C486" s="76"/>
      <c r="D486" s="76"/>
    </row>
    <row r="487" spans="1:4" ht="14.25" x14ac:dyDescent="0.2">
      <c r="A487" s="76"/>
      <c r="B487" s="76"/>
      <c r="C487" s="76"/>
      <c r="D487" s="76"/>
    </row>
    <row r="488" spans="1:4" ht="14.25" x14ac:dyDescent="0.2">
      <c r="A488" s="76"/>
      <c r="B488" s="76"/>
      <c r="C488" s="76"/>
      <c r="D488" s="76"/>
    </row>
    <row r="489" spans="1:4" ht="14.25" x14ac:dyDescent="0.2">
      <c r="A489" s="76"/>
      <c r="B489" s="76"/>
      <c r="C489" s="76"/>
      <c r="D489" s="76"/>
    </row>
    <row r="490" spans="1:4" ht="14.25" x14ac:dyDescent="0.2">
      <c r="A490" s="76"/>
      <c r="B490" s="76"/>
      <c r="C490" s="76"/>
      <c r="D490" s="76"/>
    </row>
    <row r="491" spans="1:4" ht="14.25" x14ac:dyDescent="0.2">
      <c r="A491" s="76"/>
      <c r="B491" s="76"/>
      <c r="C491" s="76"/>
      <c r="D491" s="76"/>
    </row>
    <row r="492" spans="1:4" ht="14.25" x14ac:dyDescent="0.2">
      <c r="A492" s="76"/>
      <c r="B492" s="76"/>
      <c r="C492" s="76"/>
      <c r="D492" s="76"/>
    </row>
    <row r="493" spans="1:4" ht="14.25" x14ac:dyDescent="0.2">
      <c r="A493" s="76"/>
      <c r="B493" s="76"/>
      <c r="C493" s="76"/>
      <c r="D493" s="76"/>
    </row>
    <row r="494" spans="1:4" ht="14.25" x14ac:dyDescent="0.2">
      <c r="A494" s="76"/>
      <c r="B494" s="76"/>
      <c r="C494" s="76"/>
      <c r="D494" s="76"/>
    </row>
    <row r="495" spans="1:4" ht="14.25" x14ac:dyDescent="0.2">
      <c r="A495" s="76"/>
      <c r="B495" s="76"/>
      <c r="C495" s="76"/>
      <c r="D495" s="76"/>
    </row>
    <row r="496" spans="1:4" ht="14.25" x14ac:dyDescent="0.2">
      <c r="A496" s="76"/>
      <c r="B496" s="76"/>
      <c r="C496" s="76"/>
      <c r="D496" s="76"/>
    </row>
    <row r="497" spans="1:4" ht="14.25" x14ac:dyDescent="0.2">
      <c r="A497" s="76"/>
      <c r="B497" s="76"/>
      <c r="C497" s="76"/>
      <c r="D497" s="76"/>
    </row>
    <row r="498" spans="1:4" ht="14.25" x14ac:dyDescent="0.2">
      <c r="A498" s="76"/>
      <c r="B498" s="76"/>
      <c r="C498" s="76"/>
      <c r="D498" s="76"/>
    </row>
    <row r="499" spans="1:4" ht="14.25" x14ac:dyDescent="0.2">
      <c r="A499" s="76"/>
      <c r="B499" s="76"/>
      <c r="C499" s="76"/>
      <c r="D499" s="76"/>
    </row>
    <row r="500" spans="1:4" ht="14.25" x14ac:dyDescent="0.2">
      <c r="A500" s="76"/>
      <c r="B500" s="76"/>
      <c r="C500" s="76"/>
      <c r="D500" s="76"/>
    </row>
    <row r="501" spans="1:4" ht="14.25" x14ac:dyDescent="0.2">
      <c r="A501" s="76"/>
      <c r="B501" s="76"/>
      <c r="C501" s="76"/>
      <c r="D501" s="76"/>
    </row>
    <row r="502" spans="1:4" ht="14.25" x14ac:dyDescent="0.2">
      <c r="A502" s="76"/>
      <c r="B502" s="76"/>
      <c r="C502" s="76"/>
      <c r="D502" s="76"/>
    </row>
    <row r="503" spans="1:4" ht="14.25" x14ac:dyDescent="0.2">
      <c r="A503" s="76"/>
      <c r="B503" s="76"/>
      <c r="C503" s="76"/>
      <c r="D503" s="76"/>
    </row>
    <row r="504" spans="1:4" ht="14.25" x14ac:dyDescent="0.2">
      <c r="A504" s="76"/>
      <c r="B504" s="76"/>
      <c r="C504" s="76"/>
      <c r="D504" s="76"/>
    </row>
    <row r="505" spans="1:4" ht="14.25" x14ac:dyDescent="0.2">
      <c r="A505" s="76"/>
      <c r="B505" s="76"/>
      <c r="C505" s="76"/>
      <c r="D505" s="76"/>
    </row>
    <row r="506" spans="1:4" ht="14.25" x14ac:dyDescent="0.2">
      <c r="A506" s="76"/>
      <c r="B506" s="76"/>
      <c r="C506" s="76"/>
      <c r="D506" s="76"/>
    </row>
    <row r="507" spans="1:4" ht="14.25" x14ac:dyDescent="0.2">
      <c r="A507" s="76"/>
      <c r="B507" s="76"/>
      <c r="C507" s="76"/>
      <c r="D507" s="76"/>
    </row>
    <row r="508" spans="1:4" ht="14.25" x14ac:dyDescent="0.2">
      <c r="A508" s="76"/>
      <c r="B508" s="76"/>
      <c r="C508" s="76"/>
      <c r="D508" s="76"/>
    </row>
    <row r="509" spans="1:4" ht="14.25" x14ac:dyDescent="0.2">
      <c r="A509" s="76"/>
      <c r="B509" s="76"/>
      <c r="C509" s="76"/>
      <c r="D509" s="76"/>
    </row>
    <row r="510" spans="1:4" ht="14.25" x14ac:dyDescent="0.2">
      <c r="A510" s="76"/>
      <c r="B510" s="76"/>
      <c r="C510" s="76"/>
      <c r="D510" s="76"/>
    </row>
    <row r="511" spans="1:4" ht="14.25" x14ac:dyDescent="0.2">
      <c r="A511" s="76"/>
      <c r="B511" s="76"/>
      <c r="C511" s="76"/>
      <c r="D511" s="76"/>
    </row>
    <row r="512" spans="1:4" ht="14.25" x14ac:dyDescent="0.2">
      <c r="A512" s="76"/>
      <c r="B512" s="76"/>
      <c r="C512" s="76"/>
      <c r="D512" s="76"/>
    </row>
    <row r="513" spans="1:4" ht="14.25" x14ac:dyDescent="0.2">
      <c r="A513" s="76"/>
      <c r="B513" s="76"/>
      <c r="C513" s="76"/>
      <c r="D513" s="76"/>
    </row>
    <row r="514" spans="1:4" ht="14.25" x14ac:dyDescent="0.2">
      <c r="A514" s="76"/>
      <c r="B514" s="76"/>
      <c r="C514" s="76"/>
      <c r="D514" s="76"/>
    </row>
    <row r="515" spans="1:4" ht="14.25" x14ac:dyDescent="0.2">
      <c r="A515" s="76"/>
      <c r="B515" s="76"/>
      <c r="C515" s="76"/>
      <c r="D515" s="76"/>
    </row>
    <row r="516" spans="1:4" ht="14.25" x14ac:dyDescent="0.2">
      <c r="A516" s="76"/>
      <c r="B516" s="76"/>
      <c r="C516" s="76"/>
      <c r="D516" s="76"/>
    </row>
    <row r="517" spans="1:4" ht="14.25" x14ac:dyDescent="0.2">
      <c r="A517" s="76"/>
      <c r="B517" s="76"/>
      <c r="C517" s="76"/>
      <c r="D517" s="76"/>
    </row>
    <row r="518" spans="1:4" ht="14.25" x14ac:dyDescent="0.2">
      <c r="A518" s="76"/>
      <c r="B518" s="76"/>
      <c r="C518" s="76"/>
      <c r="D518" s="76"/>
    </row>
    <row r="519" spans="1:4" ht="14.25" x14ac:dyDescent="0.2">
      <c r="A519" s="76"/>
      <c r="B519" s="76"/>
      <c r="C519" s="76"/>
      <c r="D519" s="76"/>
    </row>
    <row r="520" spans="1:4" ht="14.25" x14ac:dyDescent="0.2">
      <c r="A520" s="76"/>
      <c r="B520" s="76"/>
      <c r="C520" s="76"/>
      <c r="D520" s="76"/>
    </row>
    <row r="521" spans="1:4" ht="14.25" x14ac:dyDescent="0.2">
      <c r="A521" s="76"/>
      <c r="B521" s="76"/>
      <c r="C521" s="76"/>
      <c r="D521" s="76"/>
    </row>
    <row r="522" spans="1:4" ht="14.25" x14ac:dyDescent="0.2">
      <c r="A522" s="76"/>
      <c r="B522" s="76"/>
      <c r="C522" s="76"/>
      <c r="D522" s="76"/>
    </row>
    <row r="523" spans="1:4" ht="14.25" x14ac:dyDescent="0.2">
      <c r="A523" s="76"/>
      <c r="B523" s="76"/>
      <c r="C523" s="76"/>
      <c r="D523" s="76"/>
    </row>
    <row r="524" spans="1:4" ht="14.25" x14ac:dyDescent="0.2">
      <c r="A524" s="76"/>
      <c r="B524" s="76"/>
      <c r="C524" s="76"/>
      <c r="D524" s="76"/>
    </row>
    <row r="525" spans="1:4" ht="14.25" x14ac:dyDescent="0.2">
      <c r="A525" s="76"/>
      <c r="B525" s="76"/>
      <c r="C525" s="76"/>
      <c r="D525" s="76"/>
    </row>
    <row r="526" spans="1:4" ht="14.25" x14ac:dyDescent="0.2">
      <c r="A526" s="76"/>
      <c r="B526" s="76"/>
      <c r="C526" s="76"/>
      <c r="D526" s="76"/>
    </row>
    <row r="527" spans="1:4" ht="14.25" x14ac:dyDescent="0.2">
      <c r="A527" s="76"/>
      <c r="B527" s="76"/>
      <c r="C527" s="76"/>
      <c r="D527" s="76"/>
    </row>
    <row r="528" spans="1:4" ht="14.25" x14ac:dyDescent="0.2">
      <c r="A528" s="76"/>
      <c r="B528" s="76"/>
      <c r="C528" s="76"/>
      <c r="D528" s="76"/>
    </row>
    <row r="529" spans="1:4" ht="14.25" x14ac:dyDescent="0.2">
      <c r="A529" s="76"/>
      <c r="B529" s="76"/>
      <c r="C529" s="76"/>
      <c r="D529" s="76"/>
    </row>
    <row r="530" spans="1:4" ht="14.25" x14ac:dyDescent="0.2">
      <c r="A530" s="76"/>
      <c r="B530" s="76"/>
      <c r="C530" s="76"/>
      <c r="D530" s="76"/>
    </row>
    <row r="531" spans="1:4" ht="14.25" x14ac:dyDescent="0.2">
      <c r="A531" s="76"/>
      <c r="B531" s="76"/>
      <c r="C531" s="76"/>
      <c r="D531" s="76"/>
    </row>
    <row r="532" spans="1:4" ht="14.25" x14ac:dyDescent="0.2">
      <c r="A532" s="76"/>
      <c r="B532" s="76"/>
      <c r="C532" s="76"/>
      <c r="D532" s="76"/>
    </row>
    <row r="533" spans="1:4" ht="14.25" x14ac:dyDescent="0.2">
      <c r="A533" s="76"/>
      <c r="B533" s="76"/>
      <c r="C533" s="76"/>
      <c r="D533" s="76"/>
    </row>
    <row r="534" spans="1:4" ht="14.25" x14ac:dyDescent="0.2">
      <c r="A534" s="76"/>
      <c r="B534" s="76"/>
      <c r="C534" s="76"/>
      <c r="D534" s="76"/>
    </row>
    <row r="535" spans="1:4" ht="14.25" x14ac:dyDescent="0.2">
      <c r="A535" s="76"/>
      <c r="B535" s="76"/>
      <c r="C535" s="76"/>
      <c r="D535" s="76"/>
    </row>
    <row r="536" spans="1:4" ht="14.25" x14ac:dyDescent="0.2">
      <c r="A536" s="76"/>
      <c r="B536" s="76"/>
      <c r="C536" s="76"/>
      <c r="D536" s="76"/>
    </row>
    <row r="537" spans="1:4" ht="14.25" x14ac:dyDescent="0.2">
      <c r="A537" s="76"/>
      <c r="B537" s="76"/>
      <c r="C537" s="76"/>
      <c r="D537" s="76"/>
    </row>
    <row r="538" spans="1:4" ht="14.25" x14ac:dyDescent="0.2">
      <c r="A538" s="76"/>
      <c r="B538" s="76"/>
      <c r="C538" s="76"/>
      <c r="D538" s="76"/>
    </row>
    <row r="539" spans="1:4" ht="14.25" x14ac:dyDescent="0.2">
      <c r="A539" s="76"/>
      <c r="B539" s="76"/>
      <c r="C539" s="76"/>
      <c r="D539" s="76"/>
    </row>
    <row r="540" spans="1:4" ht="14.25" x14ac:dyDescent="0.2">
      <c r="A540" s="76"/>
      <c r="B540" s="76"/>
      <c r="C540" s="76"/>
      <c r="D540" s="76"/>
    </row>
    <row r="541" spans="1:4" ht="14.25" x14ac:dyDescent="0.2">
      <c r="A541" s="76"/>
      <c r="B541" s="76"/>
      <c r="C541" s="76"/>
      <c r="D541" s="76"/>
    </row>
    <row r="542" spans="1:4" ht="14.25" x14ac:dyDescent="0.2">
      <c r="A542" s="76"/>
      <c r="B542" s="76"/>
      <c r="C542" s="76"/>
      <c r="D542" s="76"/>
    </row>
    <row r="543" spans="1:4" ht="14.25" x14ac:dyDescent="0.2">
      <c r="A543" s="76"/>
      <c r="B543" s="76"/>
      <c r="C543" s="76"/>
      <c r="D543" s="76"/>
    </row>
    <row r="544" spans="1:4" ht="14.25" x14ac:dyDescent="0.2">
      <c r="A544" s="76"/>
      <c r="B544" s="76"/>
      <c r="C544" s="76"/>
      <c r="D544" s="76"/>
    </row>
    <row r="545" spans="1:4" ht="14.25" x14ac:dyDescent="0.2">
      <c r="A545" s="76"/>
      <c r="B545" s="76"/>
      <c r="C545" s="76"/>
      <c r="D545" s="76"/>
    </row>
    <row r="546" spans="1:4" ht="14.25" x14ac:dyDescent="0.2">
      <c r="A546" s="76"/>
      <c r="B546" s="76"/>
      <c r="C546" s="76"/>
      <c r="D546" s="76"/>
    </row>
    <row r="547" spans="1:4" ht="14.25" x14ac:dyDescent="0.2">
      <c r="A547" s="76"/>
      <c r="B547" s="76"/>
      <c r="C547" s="76"/>
      <c r="D547" s="76"/>
    </row>
    <row r="548" spans="1:4" ht="14.25" x14ac:dyDescent="0.2">
      <c r="A548" s="76"/>
      <c r="B548" s="76"/>
      <c r="C548" s="76"/>
      <c r="D548" s="76"/>
    </row>
    <row r="549" spans="1:4" ht="14.25" x14ac:dyDescent="0.2">
      <c r="A549" s="76"/>
      <c r="B549" s="76"/>
      <c r="C549" s="76"/>
      <c r="D549" s="76"/>
    </row>
    <row r="550" spans="1:4" ht="14.25" x14ac:dyDescent="0.2">
      <c r="A550" s="76"/>
      <c r="B550" s="76"/>
      <c r="C550" s="76"/>
      <c r="D550" s="76"/>
    </row>
    <row r="551" spans="1:4" ht="14.25" x14ac:dyDescent="0.2">
      <c r="A551" s="76"/>
      <c r="B551" s="76"/>
      <c r="C551" s="76"/>
      <c r="D551" s="76"/>
    </row>
    <row r="552" spans="1:4" ht="14.25" x14ac:dyDescent="0.2">
      <c r="A552" s="76"/>
      <c r="B552" s="76"/>
      <c r="C552" s="76"/>
      <c r="D552" s="76"/>
    </row>
    <row r="553" spans="1:4" ht="14.25" x14ac:dyDescent="0.2">
      <c r="A553" s="76"/>
      <c r="B553" s="76"/>
      <c r="C553" s="76"/>
      <c r="D553" s="76"/>
    </row>
    <row r="554" spans="1:4" ht="14.25" x14ac:dyDescent="0.2">
      <c r="A554" s="76"/>
      <c r="B554" s="76"/>
      <c r="C554" s="76"/>
      <c r="D554" s="76"/>
    </row>
    <row r="555" spans="1:4" ht="14.25" x14ac:dyDescent="0.2">
      <c r="A555" s="76"/>
      <c r="B555" s="76"/>
      <c r="C555" s="76"/>
      <c r="D555" s="76"/>
    </row>
    <row r="556" spans="1:4" ht="14.25" x14ac:dyDescent="0.2">
      <c r="A556" s="76"/>
      <c r="B556" s="76"/>
      <c r="C556" s="76"/>
      <c r="D556" s="76"/>
    </row>
    <row r="557" spans="1:4" ht="14.25" x14ac:dyDescent="0.2">
      <c r="A557" s="76"/>
      <c r="B557" s="76"/>
      <c r="C557" s="76"/>
      <c r="D557" s="76"/>
    </row>
    <row r="558" spans="1:4" ht="14.25" x14ac:dyDescent="0.2">
      <c r="A558" s="76"/>
      <c r="B558" s="76"/>
      <c r="C558" s="76"/>
      <c r="D558" s="76"/>
    </row>
    <row r="559" spans="1:4" ht="14.25" x14ac:dyDescent="0.2">
      <c r="A559" s="76"/>
      <c r="B559" s="76"/>
      <c r="C559" s="76"/>
      <c r="D559" s="76"/>
    </row>
    <row r="560" spans="1:4" ht="14.25" x14ac:dyDescent="0.2">
      <c r="A560" s="76"/>
      <c r="B560" s="76"/>
      <c r="C560" s="76"/>
      <c r="D560" s="76"/>
    </row>
    <row r="561" spans="1:4" ht="14.25" x14ac:dyDescent="0.2">
      <c r="A561" s="76"/>
      <c r="B561" s="76"/>
      <c r="C561" s="76"/>
      <c r="D561" s="76"/>
    </row>
    <row r="562" spans="1:4" ht="14.25" x14ac:dyDescent="0.2">
      <c r="A562" s="76"/>
      <c r="B562" s="76"/>
      <c r="C562" s="76"/>
      <c r="D562" s="76"/>
    </row>
    <row r="563" spans="1:4" ht="14.25" x14ac:dyDescent="0.2">
      <c r="A563" s="76"/>
      <c r="B563" s="76"/>
      <c r="C563" s="76"/>
      <c r="D563" s="76"/>
    </row>
    <row r="564" spans="1:4" ht="14.25" x14ac:dyDescent="0.2">
      <c r="A564" s="76"/>
      <c r="B564" s="76"/>
      <c r="C564" s="76"/>
      <c r="D564" s="76"/>
    </row>
    <row r="565" spans="1:4" ht="14.25" x14ac:dyDescent="0.2">
      <c r="A565" s="76"/>
      <c r="B565" s="76"/>
      <c r="C565" s="76"/>
      <c r="D565" s="76"/>
    </row>
    <row r="566" spans="1:4" ht="14.25" x14ac:dyDescent="0.2">
      <c r="A566" s="76"/>
      <c r="B566" s="76"/>
      <c r="C566" s="76"/>
      <c r="D566" s="76"/>
    </row>
    <row r="567" spans="1:4" ht="14.25" x14ac:dyDescent="0.2">
      <c r="A567" s="76"/>
      <c r="B567" s="76"/>
      <c r="C567" s="76"/>
      <c r="D567" s="76"/>
    </row>
    <row r="568" spans="1:4" ht="14.25" x14ac:dyDescent="0.2">
      <c r="A568" s="76"/>
      <c r="B568" s="76"/>
      <c r="C568" s="76"/>
      <c r="D568" s="76"/>
    </row>
    <row r="569" spans="1:4" ht="14.25" x14ac:dyDescent="0.2">
      <c r="A569" s="76"/>
      <c r="B569" s="76"/>
      <c r="C569" s="76"/>
      <c r="D569" s="76"/>
    </row>
    <row r="570" spans="1:4" ht="14.25" x14ac:dyDescent="0.2">
      <c r="A570" s="76"/>
      <c r="B570" s="76"/>
      <c r="C570" s="76"/>
      <c r="D570" s="76"/>
    </row>
    <row r="571" spans="1:4" ht="14.25" x14ac:dyDescent="0.2">
      <c r="A571" s="76"/>
      <c r="B571" s="76"/>
      <c r="C571" s="76"/>
      <c r="D571" s="76"/>
    </row>
    <row r="572" spans="1:4" ht="14.25" x14ac:dyDescent="0.2">
      <c r="A572" s="76"/>
      <c r="B572" s="76"/>
      <c r="C572" s="76"/>
      <c r="D572" s="76"/>
    </row>
    <row r="573" spans="1:4" ht="14.25" x14ac:dyDescent="0.2">
      <c r="A573" s="76"/>
      <c r="B573" s="76"/>
      <c r="C573" s="76"/>
      <c r="D573" s="76"/>
    </row>
    <row r="574" spans="1:4" ht="14.25" x14ac:dyDescent="0.2">
      <c r="A574" s="76"/>
      <c r="B574" s="76"/>
      <c r="C574" s="76"/>
      <c r="D574" s="76"/>
    </row>
    <row r="575" spans="1:4" ht="14.25" x14ac:dyDescent="0.2">
      <c r="A575" s="76"/>
      <c r="B575" s="76"/>
      <c r="C575" s="76"/>
      <c r="D575" s="76"/>
    </row>
    <row r="576" spans="1:4" ht="14.25" x14ac:dyDescent="0.2">
      <c r="A576" s="76"/>
      <c r="B576" s="76"/>
      <c r="C576" s="76"/>
      <c r="D576" s="76"/>
    </row>
    <row r="577" spans="1:4" ht="14.25" x14ac:dyDescent="0.2">
      <c r="A577" s="76"/>
      <c r="B577" s="76"/>
      <c r="C577" s="76"/>
      <c r="D577" s="76"/>
    </row>
    <row r="578" spans="1:4" ht="14.25" x14ac:dyDescent="0.2">
      <c r="A578" s="76"/>
      <c r="B578" s="76"/>
      <c r="C578" s="76"/>
      <c r="D578" s="76"/>
    </row>
    <row r="579" spans="1:4" ht="14.25" x14ac:dyDescent="0.2">
      <c r="A579" s="76"/>
      <c r="B579" s="76"/>
      <c r="C579" s="76"/>
      <c r="D579" s="76"/>
    </row>
    <row r="580" spans="1:4" ht="14.25" x14ac:dyDescent="0.2">
      <c r="A580" s="76"/>
      <c r="B580" s="76"/>
      <c r="C580" s="76"/>
      <c r="D580" s="76"/>
    </row>
    <row r="581" spans="1:4" ht="14.25" x14ac:dyDescent="0.2">
      <c r="A581" s="76"/>
      <c r="B581" s="76"/>
      <c r="C581" s="76"/>
      <c r="D581" s="76"/>
    </row>
    <row r="582" spans="1:4" ht="14.25" x14ac:dyDescent="0.2">
      <c r="A582" s="76"/>
      <c r="B582" s="76"/>
      <c r="C582" s="76"/>
      <c r="D582" s="76"/>
    </row>
    <row r="583" spans="1:4" ht="14.25" x14ac:dyDescent="0.2">
      <c r="A583" s="76"/>
      <c r="B583" s="76"/>
      <c r="C583" s="76"/>
      <c r="D583" s="76"/>
    </row>
    <row r="584" spans="1:4" ht="14.25" x14ac:dyDescent="0.2">
      <c r="A584" s="76"/>
      <c r="B584" s="76"/>
      <c r="C584" s="76"/>
      <c r="D584" s="76"/>
    </row>
    <row r="585" spans="1:4" ht="14.25" x14ac:dyDescent="0.2">
      <c r="A585" s="76"/>
      <c r="B585" s="76"/>
      <c r="C585" s="76"/>
      <c r="D585" s="76"/>
    </row>
    <row r="586" spans="1:4" ht="14.25" x14ac:dyDescent="0.2">
      <c r="A586" s="76"/>
      <c r="B586" s="76"/>
      <c r="C586" s="76"/>
      <c r="D586" s="76"/>
    </row>
    <row r="587" spans="1:4" ht="14.25" x14ac:dyDescent="0.2">
      <c r="A587" s="76"/>
      <c r="B587" s="76"/>
      <c r="C587" s="76"/>
      <c r="D587" s="76"/>
    </row>
    <row r="588" spans="1:4" ht="14.25" x14ac:dyDescent="0.2">
      <c r="A588" s="76"/>
      <c r="B588" s="76"/>
      <c r="C588" s="76"/>
      <c r="D588" s="76"/>
    </row>
    <row r="589" spans="1:4" ht="14.25" x14ac:dyDescent="0.2">
      <c r="A589" s="76"/>
      <c r="B589" s="76"/>
      <c r="C589" s="76"/>
      <c r="D589" s="76"/>
    </row>
    <row r="590" spans="1:4" ht="14.25" x14ac:dyDescent="0.2">
      <c r="A590" s="76"/>
      <c r="B590" s="76"/>
      <c r="C590" s="76"/>
      <c r="D590" s="76"/>
    </row>
    <row r="591" spans="1:4" ht="14.25" x14ac:dyDescent="0.2">
      <c r="A591" s="76"/>
      <c r="B591" s="76"/>
      <c r="C591" s="76"/>
      <c r="D591" s="76"/>
    </row>
    <row r="592" spans="1:4" ht="14.25" x14ac:dyDescent="0.2">
      <c r="A592" s="76"/>
      <c r="B592" s="76"/>
      <c r="C592" s="76"/>
      <c r="D592" s="76"/>
    </row>
    <row r="593" spans="1:4" ht="14.25" x14ac:dyDescent="0.2">
      <c r="A593" s="76"/>
      <c r="B593" s="76"/>
      <c r="C593" s="76"/>
      <c r="D593" s="76"/>
    </row>
    <row r="594" spans="1:4" ht="14.25" x14ac:dyDescent="0.2">
      <c r="A594" s="76"/>
      <c r="B594" s="76"/>
      <c r="C594" s="76"/>
      <c r="D594" s="76"/>
    </row>
    <row r="595" spans="1:4" ht="14.25" x14ac:dyDescent="0.2">
      <c r="A595" s="76"/>
      <c r="B595" s="76"/>
      <c r="C595" s="76"/>
      <c r="D595" s="76"/>
    </row>
    <row r="596" spans="1:4" ht="14.25" x14ac:dyDescent="0.2">
      <c r="A596" s="76"/>
      <c r="B596" s="76"/>
      <c r="C596" s="76"/>
      <c r="D596" s="76"/>
    </row>
    <row r="597" spans="1:4" ht="14.25" x14ac:dyDescent="0.2">
      <c r="A597" s="76"/>
      <c r="B597" s="76"/>
      <c r="C597" s="76"/>
      <c r="D597" s="76"/>
    </row>
    <row r="598" spans="1:4" ht="14.25" x14ac:dyDescent="0.2">
      <c r="A598" s="76"/>
      <c r="B598" s="76"/>
      <c r="C598" s="76"/>
      <c r="D598" s="76"/>
    </row>
    <row r="599" spans="1:4" ht="14.25" x14ac:dyDescent="0.2">
      <c r="A599" s="76"/>
      <c r="B599" s="76"/>
      <c r="C599" s="76"/>
      <c r="D599" s="76"/>
    </row>
    <row r="600" spans="1:4" ht="14.25" x14ac:dyDescent="0.2">
      <c r="A600" s="76"/>
      <c r="B600" s="76"/>
      <c r="C600" s="76"/>
      <c r="D600" s="76"/>
    </row>
    <row r="601" spans="1:4" ht="14.25" x14ac:dyDescent="0.2">
      <c r="A601" s="76"/>
      <c r="B601" s="76"/>
      <c r="C601" s="76"/>
      <c r="D601" s="76"/>
    </row>
    <row r="602" spans="1:4" ht="14.25" x14ac:dyDescent="0.2">
      <c r="A602" s="76"/>
      <c r="B602" s="76"/>
      <c r="C602" s="76"/>
      <c r="D602" s="76"/>
    </row>
    <row r="603" spans="1:4" ht="14.25" x14ac:dyDescent="0.2">
      <c r="A603" s="76"/>
      <c r="B603" s="76"/>
      <c r="C603" s="76"/>
      <c r="D603" s="76"/>
    </row>
    <row r="604" spans="1:4" ht="14.25" x14ac:dyDescent="0.2">
      <c r="A604" s="76"/>
      <c r="B604" s="76"/>
      <c r="C604" s="76"/>
      <c r="D604" s="76"/>
    </row>
    <row r="605" spans="1:4" ht="14.25" x14ac:dyDescent="0.2">
      <c r="A605" s="76"/>
      <c r="B605" s="76"/>
      <c r="C605" s="76"/>
      <c r="D605" s="76"/>
    </row>
    <row r="606" spans="1:4" ht="14.25" x14ac:dyDescent="0.2">
      <c r="A606" s="76"/>
      <c r="B606" s="76"/>
      <c r="C606" s="76"/>
      <c r="D606" s="76"/>
    </row>
    <row r="607" spans="1:4" ht="14.25" x14ac:dyDescent="0.2">
      <c r="A607" s="76"/>
      <c r="B607" s="76"/>
      <c r="C607" s="76"/>
      <c r="D607" s="76"/>
    </row>
    <row r="608" spans="1:4" ht="14.25" x14ac:dyDescent="0.2">
      <c r="A608" s="76"/>
      <c r="B608" s="76"/>
      <c r="C608" s="76"/>
      <c r="D608" s="76"/>
    </row>
    <row r="609" spans="1:4" ht="14.25" x14ac:dyDescent="0.2">
      <c r="A609" s="76"/>
      <c r="B609" s="76"/>
      <c r="C609" s="76"/>
      <c r="D609" s="76"/>
    </row>
    <row r="610" spans="1:4" ht="14.25" x14ac:dyDescent="0.2">
      <c r="A610" s="76"/>
      <c r="B610" s="76"/>
      <c r="C610" s="76"/>
      <c r="D610" s="76"/>
    </row>
    <row r="611" spans="1:4" ht="14.25" x14ac:dyDescent="0.2">
      <c r="A611" s="76"/>
      <c r="B611" s="76"/>
      <c r="C611" s="76"/>
      <c r="D611" s="76"/>
    </row>
    <row r="612" spans="1:4" ht="14.25" x14ac:dyDescent="0.2">
      <c r="A612" s="76"/>
      <c r="B612" s="76"/>
      <c r="C612" s="76"/>
      <c r="D612" s="76"/>
    </row>
    <row r="613" spans="1:4" ht="14.25" x14ac:dyDescent="0.2">
      <c r="A613" s="76"/>
      <c r="B613" s="76"/>
      <c r="C613" s="76"/>
      <c r="D613" s="76"/>
    </row>
    <row r="614" spans="1:4" ht="14.25" x14ac:dyDescent="0.2">
      <c r="A614" s="76"/>
      <c r="B614" s="76"/>
      <c r="C614" s="76"/>
      <c r="D614" s="76"/>
    </row>
    <row r="615" spans="1:4" ht="14.25" x14ac:dyDescent="0.2">
      <c r="A615" s="76"/>
      <c r="B615" s="76"/>
      <c r="C615" s="76"/>
      <c r="D615" s="76"/>
    </row>
    <row r="616" spans="1:4" ht="14.25" x14ac:dyDescent="0.2">
      <c r="A616" s="76"/>
      <c r="B616" s="76"/>
      <c r="C616" s="76"/>
      <c r="D616" s="76"/>
    </row>
    <row r="617" spans="1:4" ht="14.25" x14ac:dyDescent="0.2">
      <c r="A617" s="76"/>
      <c r="B617" s="76"/>
      <c r="C617" s="76"/>
      <c r="D617" s="76"/>
    </row>
    <row r="618" spans="1:4" ht="14.25" x14ac:dyDescent="0.2">
      <c r="A618" s="76"/>
      <c r="B618" s="76"/>
      <c r="C618" s="76"/>
      <c r="D618" s="76"/>
    </row>
    <row r="619" spans="1:4" ht="14.25" x14ac:dyDescent="0.2">
      <c r="A619" s="76"/>
      <c r="B619" s="76"/>
      <c r="C619" s="76"/>
      <c r="D619" s="76"/>
    </row>
    <row r="620" spans="1:4" ht="14.25" x14ac:dyDescent="0.2">
      <c r="A620" s="76"/>
      <c r="B620" s="76"/>
      <c r="C620" s="76"/>
      <c r="D620" s="76"/>
    </row>
    <row r="621" spans="1:4" ht="14.25" x14ac:dyDescent="0.2">
      <c r="A621" s="76"/>
      <c r="B621" s="76"/>
      <c r="C621" s="76"/>
      <c r="D621" s="76"/>
    </row>
    <row r="622" spans="1:4" ht="14.25" x14ac:dyDescent="0.2">
      <c r="A622" s="76"/>
      <c r="B622" s="76"/>
      <c r="C622" s="76"/>
      <c r="D622" s="76"/>
    </row>
    <row r="623" spans="1:4" ht="14.25" x14ac:dyDescent="0.2">
      <c r="A623" s="76"/>
      <c r="B623" s="76"/>
      <c r="C623" s="76"/>
      <c r="D623" s="76"/>
    </row>
    <row r="624" spans="1:4" ht="14.25" x14ac:dyDescent="0.2">
      <c r="A624" s="76"/>
      <c r="B624" s="76"/>
      <c r="C624" s="76"/>
      <c r="D624" s="76"/>
    </row>
    <row r="625" spans="1:4" ht="14.25" x14ac:dyDescent="0.2">
      <c r="A625" s="76"/>
      <c r="B625" s="76"/>
      <c r="C625" s="76"/>
      <c r="D625" s="76"/>
    </row>
    <row r="626" spans="1:4" ht="14.25" x14ac:dyDescent="0.2">
      <c r="A626" s="76"/>
      <c r="B626" s="76"/>
      <c r="C626" s="76"/>
      <c r="D626" s="76"/>
    </row>
    <row r="627" spans="1:4" ht="14.25" x14ac:dyDescent="0.2">
      <c r="A627" s="76"/>
      <c r="B627" s="76"/>
      <c r="C627" s="76"/>
      <c r="D627" s="76"/>
    </row>
    <row r="628" spans="1:4" ht="14.25" x14ac:dyDescent="0.2">
      <c r="A628" s="76"/>
      <c r="B628" s="76"/>
      <c r="C628" s="76"/>
      <c r="D628" s="76"/>
    </row>
    <row r="629" spans="1:4" ht="14.25" x14ac:dyDescent="0.2">
      <c r="A629" s="76"/>
      <c r="B629" s="76"/>
      <c r="C629" s="76"/>
      <c r="D629" s="76"/>
    </row>
    <row r="630" spans="1:4" ht="14.25" x14ac:dyDescent="0.2">
      <c r="A630" s="76"/>
      <c r="B630" s="76"/>
      <c r="C630" s="76"/>
      <c r="D630" s="76"/>
    </row>
    <row r="631" spans="1:4" ht="14.25" x14ac:dyDescent="0.2">
      <c r="A631" s="76"/>
      <c r="B631" s="76"/>
      <c r="C631" s="76"/>
      <c r="D631" s="76"/>
    </row>
    <row r="632" spans="1:4" ht="14.25" x14ac:dyDescent="0.2">
      <c r="A632" s="76"/>
      <c r="B632" s="76"/>
      <c r="C632" s="76"/>
      <c r="D632" s="76"/>
    </row>
    <row r="633" spans="1:4" ht="14.25" x14ac:dyDescent="0.2">
      <c r="A633" s="76"/>
      <c r="B633" s="76"/>
      <c r="C633" s="76"/>
      <c r="D633" s="76"/>
    </row>
    <row r="634" spans="1:4" ht="14.25" x14ac:dyDescent="0.2">
      <c r="A634" s="76"/>
      <c r="B634" s="76"/>
      <c r="C634" s="76"/>
      <c r="D634" s="76"/>
    </row>
    <row r="635" spans="1:4" ht="14.25" x14ac:dyDescent="0.2">
      <c r="A635" s="76"/>
      <c r="B635" s="76"/>
      <c r="C635" s="76"/>
      <c r="D635" s="76"/>
    </row>
    <row r="636" spans="1:4" ht="14.25" x14ac:dyDescent="0.2">
      <c r="A636" s="76"/>
      <c r="B636" s="76"/>
      <c r="C636" s="76"/>
      <c r="D636" s="76"/>
    </row>
    <row r="637" spans="1:4" ht="14.25" x14ac:dyDescent="0.2">
      <c r="A637" s="76"/>
      <c r="B637" s="76"/>
      <c r="C637" s="76"/>
      <c r="D637" s="76"/>
    </row>
    <row r="638" spans="1:4" ht="14.25" x14ac:dyDescent="0.2">
      <c r="A638" s="76"/>
      <c r="B638" s="76"/>
      <c r="C638" s="76"/>
      <c r="D638" s="76"/>
    </row>
    <row r="639" spans="1:4" ht="14.25" x14ac:dyDescent="0.2">
      <c r="A639" s="76"/>
      <c r="B639" s="76"/>
      <c r="C639" s="76"/>
      <c r="D639" s="76"/>
    </row>
    <row r="640" spans="1:4" ht="14.25" x14ac:dyDescent="0.2">
      <c r="A640" s="76"/>
      <c r="B640" s="76"/>
      <c r="C640" s="76"/>
      <c r="D640" s="76"/>
    </row>
    <row r="641" spans="1:4" ht="14.25" x14ac:dyDescent="0.2">
      <c r="A641" s="76"/>
      <c r="B641" s="76"/>
      <c r="C641" s="76"/>
      <c r="D641" s="76"/>
    </row>
    <row r="642" spans="1:4" ht="14.25" x14ac:dyDescent="0.2">
      <c r="A642" s="76"/>
      <c r="B642" s="76"/>
      <c r="C642" s="76"/>
      <c r="D642" s="76"/>
    </row>
    <row r="643" spans="1:4" ht="14.25" x14ac:dyDescent="0.2">
      <c r="A643" s="76"/>
      <c r="B643" s="76"/>
      <c r="C643" s="76"/>
      <c r="D643" s="76"/>
    </row>
    <row r="644" spans="1:4" ht="14.25" x14ac:dyDescent="0.2">
      <c r="A644" s="76"/>
      <c r="B644" s="76"/>
      <c r="C644" s="76"/>
      <c r="D644" s="76"/>
    </row>
    <row r="645" spans="1:4" ht="14.25" x14ac:dyDescent="0.2">
      <c r="A645" s="76"/>
      <c r="B645" s="76"/>
      <c r="C645" s="76"/>
      <c r="D645" s="76"/>
    </row>
    <row r="646" spans="1:4" ht="14.25" x14ac:dyDescent="0.2">
      <c r="A646" s="76"/>
      <c r="B646" s="76"/>
      <c r="C646" s="76"/>
      <c r="D646" s="76"/>
    </row>
    <row r="647" spans="1:4" ht="14.25" x14ac:dyDescent="0.2">
      <c r="A647" s="76"/>
      <c r="B647" s="76"/>
      <c r="C647" s="76"/>
      <c r="D647" s="76"/>
    </row>
    <row r="648" spans="1:4" ht="14.25" x14ac:dyDescent="0.2">
      <c r="A648" s="76"/>
      <c r="B648" s="76"/>
      <c r="C648" s="76"/>
      <c r="D648" s="76"/>
    </row>
    <row r="649" spans="1:4" ht="14.25" x14ac:dyDescent="0.2">
      <c r="A649" s="76"/>
      <c r="B649" s="76"/>
      <c r="C649" s="76"/>
      <c r="D649" s="76"/>
    </row>
    <row r="650" spans="1:4" ht="14.25" x14ac:dyDescent="0.2">
      <c r="A650" s="76"/>
      <c r="B650" s="76"/>
      <c r="C650" s="76"/>
      <c r="D650" s="76"/>
    </row>
    <row r="651" spans="1:4" ht="14.25" x14ac:dyDescent="0.2">
      <c r="A651" s="76"/>
      <c r="B651" s="76"/>
      <c r="C651" s="76"/>
      <c r="D651" s="76"/>
    </row>
    <row r="652" spans="1:4" ht="14.25" x14ac:dyDescent="0.2">
      <c r="A652" s="76"/>
      <c r="B652" s="76"/>
      <c r="C652" s="76"/>
      <c r="D652" s="76"/>
    </row>
    <row r="653" spans="1:4" ht="14.25" x14ac:dyDescent="0.2">
      <c r="A653" s="76"/>
      <c r="B653" s="76"/>
      <c r="C653" s="76"/>
      <c r="D653" s="76"/>
    </row>
    <row r="654" spans="1:4" ht="14.25" x14ac:dyDescent="0.2">
      <c r="A654" s="76"/>
      <c r="B654" s="76"/>
      <c r="C654" s="76"/>
      <c r="D654" s="76"/>
    </row>
    <row r="655" spans="1:4" ht="14.25" x14ac:dyDescent="0.2">
      <c r="A655" s="76"/>
      <c r="B655" s="76"/>
      <c r="C655" s="76"/>
      <c r="D655" s="76"/>
    </row>
    <row r="656" spans="1:4" ht="14.25" x14ac:dyDescent="0.2">
      <c r="A656" s="76"/>
      <c r="B656" s="76"/>
      <c r="C656" s="76"/>
      <c r="D656" s="76"/>
    </row>
    <row r="657" spans="1:4" ht="14.25" x14ac:dyDescent="0.2">
      <c r="A657" s="76"/>
      <c r="B657" s="76"/>
      <c r="C657" s="76"/>
      <c r="D657" s="76"/>
    </row>
    <row r="658" spans="1:4" ht="14.25" x14ac:dyDescent="0.2">
      <c r="A658" s="76"/>
      <c r="B658" s="76"/>
      <c r="C658" s="76"/>
      <c r="D658" s="76"/>
    </row>
    <row r="659" spans="1:4" ht="14.25" x14ac:dyDescent="0.2">
      <c r="A659" s="76"/>
      <c r="B659" s="76"/>
      <c r="C659" s="76"/>
      <c r="D659" s="76"/>
    </row>
    <row r="660" spans="1:4" ht="14.25" x14ac:dyDescent="0.2">
      <c r="A660" s="76"/>
      <c r="B660" s="76"/>
      <c r="C660" s="76"/>
      <c r="D660" s="76"/>
    </row>
    <row r="661" spans="1:4" ht="14.25" x14ac:dyDescent="0.2">
      <c r="A661" s="76"/>
      <c r="B661" s="76"/>
      <c r="C661" s="76"/>
      <c r="D661" s="76"/>
    </row>
    <row r="662" spans="1:4" ht="14.25" x14ac:dyDescent="0.2">
      <c r="A662" s="76"/>
      <c r="B662" s="76"/>
      <c r="C662" s="76"/>
      <c r="D662" s="76"/>
    </row>
    <row r="663" spans="1:4" ht="14.25" x14ac:dyDescent="0.2">
      <c r="A663" s="76"/>
      <c r="B663" s="76"/>
      <c r="C663" s="76"/>
      <c r="D663" s="76"/>
    </row>
    <row r="664" spans="1:4" ht="14.25" x14ac:dyDescent="0.2">
      <c r="A664" s="76"/>
      <c r="B664" s="76"/>
      <c r="C664" s="76"/>
      <c r="D664" s="76"/>
    </row>
    <row r="665" spans="1:4" ht="14.25" x14ac:dyDescent="0.2">
      <c r="A665" s="76"/>
      <c r="B665" s="76"/>
      <c r="C665" s="76"/>
      <c r="D665" s="76"/>
    </row>
    <row r="666" spans="1:4" ht="14.25" x14ac:dyDescent="0.2">
      <c r="A666" s="76"/>
      <c r="B666" s="76"/>
      <c r="C666" s="76"/>
      <c r="D666" s="76"/>
    </row>
    <row r="667" spans="1:4" ht="14.25" x14ac:dyDescent="0.2">
      <c r="A667" s="76"/>
      <c r="B667" s="76"/>
      <c r="C667" s="76"/>
      <c r="D667" s="76"/>
    </row>
    <row r="668" spans="1:4" ht="14.25" x14ac:dyDescent="0.2">
      <c r="A668" s="76"/>
      <c r="B668" s="76"/>
      <c r="C668" s="76"/>
      <c r="D668" s="76"/>
    </row>
    <row r="669" spans="1:4" ht="14.25" x14ac:dyDescent="0.2">
      <c r="A669" s="76"/>
      <c r="B669" s="76"/>
      <c r="C669" s="76"/>
      <c r="D669" s="76"/>
    </row>
    <row r="670" spans="1:4" ht="14.25" x14ac:dyDescent="0.2">
      <c r="A670" s="76"/>
      <c r="B670" s="76"/>
      <c r="C670" s="76"/>
      <c r="D670" s="76"/>
    </row>
    <row r="671" spans="1:4" ht="14.25" x14ac:dyDescent="0.2">
      <c r="A671" s="76"/>
      <c r="B671" s="76"/>
      <c r="C671" s="76"/>
      <c r="D671" s="76"/>
    </row>
    <row r="672" spans="1:4" ht="14.25" x14ac:dyDescent="0.2">
      <c r="A672" s="76"/>
      <c r="B672" s="76"/>
      <c r="C672" s="76"/>
      <c r="D672" s="76"/>
    </row>
    <row r="673" spans="1:4" ht="14.25" x14ac:dyDescent="0.2">
      <c r="A673" s="76"/>
      <c r="B673" s="76"/>
      <c r="C673" s="76"/>
      <c r="D673" s="76"/>
    </row>
    <row r="674" spans="1:4" ht="14.25" x14ac:dyDescent="0.2">
      <c r="A674" s="76"/>
      <c r="B674" s="76"/>
      <c r="C674" s="76"/>
      <c r="D674" s="76"/>
    </row>
    <row r="675" spans="1:4" ht="14.25" x14ac:dyDescent="0.2">
      <c r="A675" s="76"/>
      <c r="B675" s="76"/>
      <c r="C675" s="76"/>
      <c r="D675" s="76"/>
    </row>
    <row r="676" spans="1:4" ht="14.25" x14ac:dyDescent="0.2">
      <c r="A676" s="76"/>
      <c r="B676" s="76"/>
      <c r="C676" s="76"/>
      <c r="D676" s="76"/>
    </row>
    <row r="677" spans="1:4" ht="14.25" x14ac:dyDescent="0.2">
      <c r="A677" s="76"/>
      <c r="B677" s="76"/>
      <c r="C677" s="76"/>
      <c r="D677" s="76"/>
    </row>
    <row r="678" spans="1:4" ht="14.25" x14ac:dyDescent="0.2">
      <c r="A678" s="76"/>
      <c r="B678" s="76"/>
      <c r="C678" s="76"/>
      <c r="D678" s="76"/>
    </row>
    <row r="679" spans="1:4" ht="14.25" x14ac:dyDescent="0.2">
      <c r="A679" s="76"/>
      <c r="B679" s="76"/>
      <c r="C679" s="76"/>
      <c r="D679" s="76"/>
    </row>
    <row r="680" spans="1:4" ht="14.25" x14ac:dyDescent="0.2">
      <c r="A680" s="76"/>
      <c r="B680" s="76"/>
      <c r="C680" s="76"/>
      <c r="D680" s="76"/>
    </row>
    <row r="681" spans="1:4" ht="14.25" x14ac:dyDescent="0.2">
      <c r="A681" s="76"/>
      <c r="B681" s="76"/>
      <c r="C681" s="76"/>
      <c r="D681" s="76"/>
    </row>
    <row r="682" spans="1:4" ht="14.25" x14ac:dyDescent="0.2">
      <c r="A682" s="76"/>
      <c r="B682" s="76"/>
      <c r="C682" s="76"/>
      <c r="D682" s="76"/>
    </row>
    <row r="683" spans="1:4" ht="14.25" x14ac:dyDescent="0.2">
      <c r="A683" s="76"/>
      <c r="B683" s="76"/>
      <c r="C683" s="76"/>
      <c r="D683" s="76"/>
    </row>
    <row r="684" spans="1:4" ht="14.25" x14ac:dyDescent="0.2">
      <c r="A684" s="76"/>
      <c r="B684" s="76"/>
      <c r="C684" s="76"/>
      <c r="D684" s="76"/>
    </row>
    <row r="685" spans="1:4" ht="14.25" x14ac:dyDescent="0.2">
      <c r="A685" s="76"/>
      <c r="B685" s="76"/>
      <c r="C685" s="76"/>
      <c r="D685" s="76"/>
    </row>
    <row r="686" spans="1:4" ht="14.25" x14ac:dyDescent="0.2">
      <c r="A686" s="76"/>
      <c r="B686" s="76"/>
      <c r="C686" s="76"/>
      <c r="D686" s="76"/>
    </row>
    <row r="687" spans="1:4" ht="14.25" x14ac:dyDescent="0.2">
      <c r="A687" s="76"/>
      <c r="B687" s="76"/>
      <c r="C687" s="76"/>
      <c r="D687" s="76"/>
    </row>
    <row r="688" spans="1:4" ht="14.25" x14ac:dyDescent="0.2">
      <c r="A688" s="76"/>
      <c r="B688" s="76"/>
      <c r="C688" s="76"/>
      <c r="D688" s="76"/>
    </row>
    <row r="689" spans="1:4" ht="14.25" x14ac:dyDescent="0.2">
      <c r="A689" s="76"/>
      <c r="B689" s="76"/>
      <c r="C689" s="76"/>
      <c r="D689" s="76"/>
    </row>
    <row r="690" spans="1:4" ht="14.25" x14ac:dyDescent="0.2">
      <c r="A690" s="76"/>
      <c r="B690" s="76"/>
      <c r="C690" s="76"/>
      <c r="D690" s="76"/>
    </row>
    <row r="691" spans="1:4" ht="14.25" x14ac:dyDescent="0.2">
      <c r="A691" s="76"/>
      <c r="B691" s="76"/>
      <c r="C691" s="76"/>
      <c r="D691" s="76"/>
    </row>
    <row r="692" spans="1:4" ht="14.25" x14ac:dyDescent="0.2">
      <c r="A692" s="76"/>
      <c r="B692" s="76"/>
      <c r="C692" s="76"/>
      <c r="D692" s="76"/>
    </row>
    <row r="693" spans="1:4" ht="14.25" x14ac:dyDescent="0.2">
      <c r="A693" s="76"/>
      <c r="B693" s="76"/>
      <c r="C693" s="76"/>
      <c r="D693" s="76"/>
    </row>
    <row r="694" spans="1:4" ht="14.25" x14ac:dyDescent="0.2">
      <c r="A694" s="76"/>
      <c r="B694" s="76"/>
      <c r="C694" s="76"/>
      <c r="D694" s="76"/>
    </row>
    <row r="695" spans="1:4" ht="14.25" x14ac:dyDescent="0.2">
      <c r="A695" s="76"/>
      <c r="B695" s="76"/>
      <c r="C695" s="76"/>
      <c r="D695" s="76"/>
    </row>
    <row r="696" spans="1:4" ht="14.25" x14ac:dyDescent="0.2">
      <c r="A696" s="76"/>
      <c r="B696" s="76"/>
      <c r="C696" s="76"/>
      <c r="D696" s="76"/>
    </row>
    <row r="697" spans="1:4" ht="14.25" x14ac:dyDescent="0.2">
      <c r="A697" s="76"/>
      <c r="B697" s="76"/>
      <c r="C697" s="76"/>
      <c r="D697" s="76"/>
    </row>
    <row r="698" spans="1:4" ht="14.25" x14ac:dyDescent="0.2">
      <c r="A698" s="76"/>
      <c r="B698" s="76"/>
      <c r="C698" s="76"/>
      <c r="D698" s="76"/>
    </row>
    <row r="699" spans="1:4" ht="14.25" x14ac:dyDescent="0.2">
      <c r="A699" s="76"/>
      <c r="B699" s="76"/>
      <c r="C699" s="76"/>
      <c r="D699" s="76"/>
    </row>
    <row r="700" spans="1:4" ht="14.25" x14ac:dyDescent="0.2">
      <c r="A700" s="76"/>
      <c r="B700" s="76"/>
      <c r="C700" s="76"/>
      <c r="D700" s="76"/>
    </row>
    <row r="701" spans="1:4" ht="14.25" x14ac:dyDescent="0.2">
      <c r="A701" s="76"/>
      <c r="B701" s="76"/>
      <c r="C701" s="76"/>
      <c r="D701" s="76"/>
    </row>
    <row r="702" spans="1:4" ht="14.25" x14ac:dyDescent="0.2">
      <c r="A702" s="76"/>
      <c r="B702" s="76"/>
      <c r="C702" s="76"/>
      <c r="D702" s="76"/>
    </row>
    <row r="703" spans="1:4" ht="14.25" x14ac:dyDescent="0.2">
      <c r="A703" s="76"/>
      <c r="B703" s="76"/>
      <c r="C703" s="76"/>
      <c r="D703" s="76"/>
    </row>
    <row r="704" spans="1:4" ht="14.25" x14ac:dyDescent="0.2">
      <c r="A704" s="76"/>
      <c r="B704" s="76"/>
      <c r="C704" s="76"/>
      <c r="D704" s="76"/>
    </row>
    <row r="705" spans="1:4" ht="14.25" x14ac:dyDescent="0.2">
      <c r="A705" s="76"/>
      <c r="B705" s="76"/>
      <c r="C705" s="76"/>
      <c r="D705" s="76"/>
    </row>
    <row r="706" spans="1:4" ht="14.25" x14ac:dyDescent="0.2">
      <c r="A706" s="76"/>
      <c r="B706" s="76"/>
      <c r="C706" s="76"/>
      <c r="D706" s="76"/>
    </row>
    <row r="707" spans="1:4" ht="14.25" x14ac:dyDescent="0.2">
      <c r="A707" s="76"/>
      <c r="B707" s="76"/>
      <c r="C707" s="76"/>
      <c r="D707" s="76"/>
    </row>
    <row r="708" spans="1:4" ht="14.25" x14ac:dyDescent="0.2">
      <c r="A708" s="76"/>
      <c r="B708" s="76"/>
      <c r="C708" s="76"/>
      <c r="D708" s="76"/>
    </row>
    <row r="709" spans="1:4" ht="14.25" x14ac:dyDescent="0.2">
      <c r="A709" s="76"/>
      <c r="B709" s="76"/>
      <c r="C709" s="76"/>
      <c r="D709" s="76"/>
    </row>
    <row r="710" spans="1:4" ht="14.25" x14ac:dyDescent="0.2">
      <c r="A710" s="76"/>
      <c r="B710" s="76"/>
      <c r="C710" s="76"/>
      <c r="D710" s="76"/>
    </row>
    <row r="711" spans="1:4" ht="14.25" x14ac:dyDescent="0.2">
      <c r="A711" s="76"/>
      <c r="B711" s="76"/>
      <c r="C711" s="76"/>
      <c r="D711" s="76"/>
    </row>
    <row r="712" spans="1:4" ht="14.25" x14ac:dyDescent="0.2">
      <c r="A712" s="76"/>
      <c r="B712" s="76"/>
      <c r="C712" s="76"/>
      <c r="D712" s="76"/>
    </row>
    <row r="713" spans="1:4" ht="14.25" x14ac:dyDescent="0.2">
      <c r="A713" s="76"/>
      <c r="B713" s="76"/>
      <c r="C713" s="76"/>
      <c r="D713" s="76"/>
    </row>
    <row r="714" spans="1:4" ht="14.25" x14ac:dyDescent="0.2">
      <c r="A714" s="76"/>
      <c r="B714" s="76"/>
      <c r="C714" s="76"/>
      <c r="D714" s="76"/>
    </row>
    <row r="715" spans="1:4" ht="14.25" x14ac:dyDescent="0.2">
      <c r="A715" s="76"/>
      <c r="B715" s="76"/>
      <c r="C715" s="76"/>
      <c r="D715" s="76"/>
    </row>
    <row r="716" spans="1:4" ht="14.25" x14ac:dyDescent="0.2">
      <c r="A716" s="76"/>
      <c r="B716" s="76"/>
      <c r="C716" s="76"/>
      <c r="D716" s="76"/>
    </row>
    <row r="717" spans="1:4" ht="14.25" x14ac:dyDescent="0.2">
      <c r="A717" s="76"/>
      <c r="B717" s="76"/>
      <c r="C717" s="76"/>
      <c r="D717" s="76"/>
    </row>
    <row r="718" spans="1:4" ht="14.25" x14ac:dyDescent="0.2">
      <c r="A718" s="76"/>
      <c r="B718" s="76"/>
      <c r="C718" s="76"/>
      <c r="D718" s="76"/>
    </row>
    <row r="719" spans="1:4" ht="14.25" x14ac:dyDescent="0.2">
      <c r="A719" s="76"/>
      <c r="B719" s="76"/>
      <c r="C719" s="76"/>
      <c r="D719" s="76"/>
    </row>
    <row r="720" spans="1:4" ht="14.25" x14ac:dyDescent="0.2">
      <c r="A720" s="76"/>
      <c r="B720" s="76"/>
      <c r="C720" s="76"/>
      <c r="D720" s="76"/>
    </row>
    <row r="721" spans="1:4" ht="14.25" x14ac:dyDescent="0.2">
      <c r="A721" s="76"/>
      <c r="B721" s="76"/>
      <c r="C721" s="76"/>
      <c r="D721" s="76"/>
    </row>
    <row r="722" spans="1:4" ht="14.25" x14ac:dyDescent="0.2">
      <c r="A722" s="76"/>
      <c r="B722" s="76"/>
      <c r="C722" s="76"/>
      <c r="D722" s="76"/>
    </row>
    <row r="723" spans="1:4" ht="14.25" x14ac:dyDescent="0.2">
      <c r="A723" s="76"/>
      <c r="B723" s="76"/>
      <c r="C723" s="76"/>
      <c r="D723" s="76"/>
    </row>
    <row r="724" spans="1:4" ht="14.25" x14ac:dyDescent="0.2">
      <c r="A724" s="76"/>
      <c r="B724" s="76"/>
      <c r="C724" s="76"/>
      <c r="D724" s="76"/>
    </row>
    <row r="725" spans="1:4" ht="14.25" x14ac:dyDescent="0.2">
      <c r="A725" s="76"/>
      <c r="B725" s="76"/>
      <c r="C725" s="76"/>
      <c r="D725" s="76"/>
    </row>
    <row r="726" spans="1:4" ht="14.25" x14ac:dyDescent="0.2">
      <c r="A726" s="76"/>
      <c r="B726" s="76"/>
      <c r="C726" s="76"/>
      <c r="D726" s="76"/>
    </row>
    <row r="727" spans="1:4" ht="14.25" x14ac:dyDescent="0.2">
      <c r="A727" s="76"/>
      <c r="B727" s="76"/>
      <c r="C727" s="76"/>
      <c r="D727" s="76"/>
    </row>
    <row r="728" spans="1:4" ht="14.25" x14ac:dyDescent="0.2">
      <c r="A728" s="76"/>
      <c r="B728" s="76"/>
      <c r="C728" s="76"/>
      <c r="D728" s="76"/>
    </row>
    <row r="729" spans="1:4" ht="14.25" x14ac:dyDescent="0.2">
      <c r="A729" s="76"/>
      <c r="B729" s="76"/>
      <c r="C729" s="76"/>
      <c r="D729" s="76"/>
    </row>
    <row r="730" spans="1:4" ht="14.25" x14ac:dyDescent="0.2">
      <c r="A730" s="76"/>
      <c r="B730" s="76"/>
      <c r="C730" s="76"/>
      <c r="D730" s="76"/>
    </row>
    <row r="731" spans="1:4" ht="14.25" x14ac:dyDescent="0.2">
      <c r="A731" s="76"/>
      <c r="B731" s="76"/>
      <c r="C731" s="76"/>
      <c r="D731" s="76"/>
    </row>
    <row r="732" spans="1:4" ht="14.25" x14ac:dyDescent="0.2">
      <c r="A732" s="76"/>
      <c r="B732" s="76"/>
      <c r="C732" s="76"/>
      <c r="D732" s="76"/>
    </row>
    <row r="733" spans="1:4" ht="14.25" x14ac:dyDescent="0.2">
      <c r="A733" s="76"/>
      <c r="B733" s="76"/>
      <c r="C733" s="76"/>
      <c r="D733" s="76"/>
    </row>
    <row r="734" spans="1:4" ht="14.25" x14ac:dyDescent="0.2">
      <c r="A734" s="76"/>
      <c r="B734" s="76"/>
      <c r="C734" s="76"/>
      <c r="D734" s="76"/>
    </row>
    <row r="735" spans="1:4" ht="14.25" x14ac:dyDescent="0.2">
      <c r="A735" s="76"/>
      <c r="B735" s="76"/>
      <c r="C735" s="76"/>
      <c r="D735" s="76"/>
    </row>
    <row r="736" spans="1:4" ht="14.25" x14ac:dyDescent="0.2">
      <c r="A736" s="76"/>
      <c r="B736" s="76"/>
      <c r="C736" s="76"/>
      <c r="D736" s="76"/>
    </row>
    <row r="737" spans="1:4" ht="14.25" x14ac:dyDescent="0.2">
      <c r="A737" s="76"/>
      <c r="B737" s="76"/>
      <c r="C737" s="76"/>
      <c r="D737" s="76"/>
    </row>
    <row r="738" spans="1:4" ht="14.25" x14ac:dyDescent="0.2">
      <c r="A738" s="76"/>
      <c r="B738" s="76"/>
      <c r="C738" s="76"/>
      <c r="D738" s="76"/>
    </row>
    <row r="739" spans="1:4" ht="14.25" x14ac:dyDescent="0.2">
      <c r="A739" s="76"/>
      <c r="B739" s="76"/>
      <c r="C739" s="76"/>
      <c r="D739" s="76"/>
    </row>
    <row r="740" spans="1:4" ht="14.25" x14ac:dyDescent="0.2">
      <c r="A740" s="76"/>
      <c r="B740" s="76"/>
      <c r="C740" s="76"/>
      <c r="D740" s="76"/>
    </row>
    <row r="741" spans="1:4" ht="14.25" x14ac:dyDescent="0.2">
      <c r="A741" s="76"/>
      <c r="B741" s="76"/>
      <c r="C741" s="76"/>
      <c r="D741" s="76"/>
    </row>
    <row r="742" spans="1:4" ht="14.25" x14ac:dyDescent="0.2">
      <c r="A742" s="76"/>
      <c r="B742" s="76"/>
      <c r="C742" s="76"/>
      <c r="D742" s="76"/>
    </row>
    <row r="743" spans="1:4" ht="14.25" x14ac:dyDescent="0.2">
      <c r="A743" s="76"/>
      <c r="B743" s="76"/>
      <c r="C743" s="76"/>
      <c r="D743" s="76"/>
    </row>
    <row r="744" spans="1:4" ht="14.25" x14ac:dyDescent="0.2">
      <c r="A744" s="76"/>
      <c r="B744" s="76"/>
      <c r="C744" s="76"/>
      <c r="D744" s="76"/>
    </row>
    <row r="745" spans="1:4" ht="14.25" x14ac:dyDescent="0.2">
      <c r="A745" s="76"/>
      <c r="B745" s="76"/>
      <c r="C745" s="76"/>
      <c r="D745" s="76"/>
    </row>
    <row r="746" spans="1:4" ht="14.25" x14ac:dyDescent="0.2">
      <c r="A746" s="76"/>
      <c r="B746" s="76"/>
      <c r="C746" s="76"/>
      <c r="D746" s="76"/>
    </row>
    <row r="747" spans="1:4" ht="14.25" x14ac:dyDescent="0.2">
      <c r="A747" s="76"/>
      <c r="B747" s="76"/>
      <c r="C747" s="76"/>
      <c r="D747" s="76"/>
    </row>
    <row r="748" spans="1:4" ht="14.25" x14ac:dyDescent="0.2">
      <c r="A748" s="76"/>
      <c r="B748" s="76"/>
      <c r="C748" s="76"/>
      <c r="D748" s="76"/>
    </row>
    <row r="749" spans="1:4" ht="14.25" x14ac:dyDescent="0.2">
      <c r="A749" s="76"/>
      <c r="B749" s="76"/>
      <c r="C749" s="76"/>
      <c r="D749" s="76"/>
    </row>
    <row r="750" spans="1:4" ht="14.25" x14ac:dyDescent="0.2">
      <c r="A750" s="76"/>
      <c r="B750" s="76"/>
      <c r="C750" s="76"/>
      <c r="D750" s="76"/>
    </row>
    <row r="751" spans="1:4" ht="14.25" x14ac:dyDescent="0.2">
      <c r="A751" s="76"/>
      <c r="B751" s="76"/>
      <c r="C751" s="76"/>
      <c r="D751" s="76"/>
    </row>
    <row r="752" spans="1:4" ht="14.25" x14ac:dyDescent="0.2">
      <c r="A752" s="76"/>
      <c r="B752" s="76"/>
      <c r="C752" s="76"/>
      <c r="D752" s="76"/>
    </row>
    <row r="753" spans="1:4" ht="14.25" x14ac:dyDescent="0.2">
      <c r="A753" s="76"/>
      <c r="B753" s="76"/>
      <c r="C753" s="76"/>
      <c r="D753" s="76"/>
    </row>
    <row r="754" spans="1:4" ht="14.25" x14ac:dyDescent="0.2">
      <c r="A754" s="76"/>
      <c r="B754" s="76"/>
      <c r="C754" s="76"/>
      <c r="D754" s="76"/>
    </row>
    <row r="755" spans="1:4" ht="14.25" x14ac:dyDescent="0.2">
      <c r="A755" s="76"/>
      <c r="B755" s="76"/>
      <c r="C755" s="76"/>
      <c r="D755" s="76"/>
    </row>
    <row r="756" spans="1:4" ht="14.25" x14ac:dyDescent="0.2">
      <c r="A756" s="76"/>
      <c r="B756" s="76"/>
      <c r="C756" s="76"/>
      <c r="D756" s="76"/>
    </row>
    <row r="757" spans="1:4" ht="14.25" x14ac:dyDescent="0.2">
      <c r="A757" s="76"/>
      <c r="B757" s="76"/>
      <c r="C757" s="76"/>
      <c r="D757" s="76"/>
    </row>
    <row r="758" spans="1:4" ht="14.25" x14ac:dyDescent="0.2">
      <c r="A758" s="76"/>
      <c r="B758" s="76"/>
      <c r="C758" s="76"/>
      <c r="D758" s="76"/>
    </row>
    <row r="759" spans="1:4" ht="14.25" x14ac:dyDescent="0.2">
      <c r="A759" s="76"/>
      <c r="B759" s="76"/>
      <c r="C759" s="76"/>
      <c r="D759" s="76"/>
    </row>
    <row r="760" spans="1:4" ht="14.25" x14ac:dyDescent="0.2">
      <c r="A760" s="76"/>
      <c r="B760" s="76"/>
      <c r="C760" s="76"/>
      <c r="D760" s="76"/>
    </row>
    <row r="761" spans="1:4" ht="14.25" x14ac:dyDescent="0.2">
      <c r="A761" s="76"/>
      <c r="B761" s="76"/>
      <c r="C761" s="76"/>
      <c r="D761" s="76"/>
    </row>
    <row r="762" spans="1:4" ht="14.25" x14ac:dyDescent="0.2">
      <c r="A762" s="76"/>
      <c r="B762" s="76"/>
      <c r="C762" s="76"/>
      <c r="D762" s="76"/>
    </row>
    <row r="763" spans="1:4" ht="14.25" x14ac:dyDescent="0.2">
      <c r="A763" s="76"/>
      <c r="B763" s="76"/>
      <c r="C763" s="76"/>
      <c r="D763" s="76"/>
    </row>
    <row r="764" spans="1:4" ht="14.25" x14ac:dyDescent="0.2">
      <c r="A764" s="76"/>
      <c r="B764" s="76"/>
      <c r="C764" s="76"/>
      <c r="D764" s="76"/>
    </row>
    <row r="765" spans="1:4" ht="14.25" x14ac:dyDescent="0.2">
      <c r="A765" s="76"/>
      <c r="B765" s="76"/>
      <c r="C765" s="76"/>
      <c r="D765" s="76"/>
    </row>
    <row r="766" spans="1:4" ht="14.25" x14ac:dyDescent="0.2">
      <c r="A766" s="76"/>
      <c r="B766" s="76"/>
      <c r="C766" s="76"/>
      <c r="D766" s="76"/>
    </row>
    <row r="767" spans="1:4" ht="14.25" x14ac:dyDescent="0.2">
      <c r="A767" s="76"/>
      <c r="B767" s="76"/>
      <c r="C767" s="76"/>
      <c r="D767" s="76"/>
    </row>
    <row r="768" spans="1:4" ht="14.25" x14ac:dyDescent="0.2">
      <c r="A768" s="76"/>
      <c r="B768" s="76"/>
      <c r="C768" s="76"/>
      <c r="D768" s="76"/>
    </row>
    <row r="769" spans="1:4" ht="14.25" x14ac:dyDescent="0.2">
      <c r="A769" s="76"/>
      <c r="B769" s="76"/>
      <c r="C769" s="76"/>
      <c r="D769" s="76"/>
    </row>
    <row r="770" spans="1:4" ht="14.25" x14ac:dyDescent="0.2">
      <c r="A770" s="76"/>
      <c r="B770" s="76"/>
      <c r="C770" s="76"/>
      <c r="D770" s="76"/>
    </row>
    <row r="771" spans="1:4" ht="14.25" x14ac:dyDescent="0.2">
      <c r="A771" s="76"/>
      <c r="B771" s="76"/>
      <c r="C771" s="76"/>
      <c r="D771" s="76"/>
    </row>
    <row r="772" spans="1:4" ht="14.25" x14ac:dyDescent="0.2">
      <c r="A772" s="76"/>
      <c r="B772" s="76"/>
      <c r="C772" s="76"/>
      <c r="D772" s="76"/>
    </row>
    <row r="773" spans="1:4" ht="14.25" x14ac:dyDescent="0.2">
      <c r="A773" s="76"/>
      <c r="B773" s="76"/>
      <c r="C773" s="76"/>
      <c r="D773" s="76"/>
    </row>
    <row r="774" spans="1:4" ht="14.25" x14ac:dyDescent="0.2">
      <c r="A774" s="76"/>
      <c r="B774" s="76"/>
      <c r="C774" s="76"/>
      <c r="D774" s="76"/>
    </row>
    <row r="775" spans="1:4" ht="14.25" x14ac:dyDescent="0.2">
      <c r="A775" s="76"/>
      <c r="B775" s="76"/>
      <c r="C775" s="76"/>
      <c r="D775" s="76"/>
    </row>
    <row r="776" spans="1:4" ht="14.25" x14ac:dyDescent="0.2">
      <c r="A776" s="76"/>
      <c r="B776" s="76"/>
      <c r="C776" s="76"/>
      <c r="D776" s="76"/>
    </row>
    <row r="777" spans="1:4" ht="14.25" x14ac:dyDescent="0.2">
      <c r="A777" s="76"/>
      <c r="B777" s="76"/>
      <c r="C777" s="76"/>
      <c r="D777" s="76"/>
    </row>
    <row r="778" spans="1:4" ht="14.25" x14ac:dyDescent="0.2">
      <c r="A778" s="76"/>
      <c r="B778" s="76"/>
      <c r="C778" s="76"/>
      <c r="D778" s="76"/>
    </row>
    <row r="779" spans="1:4" ht="14.25" x14ac:dyDescent="0.2">
      <c r="A779" s="76"/>
      <c r="B779" s="76"/>
      <c r="C779" s="76"/>
      <c r="D779" s="76"/>
    </row>
    <row r="780" spans="1:4" ht="14.25" x14ac:dyDescent="0.2">
      <c r="A780" s="76"/>
      <c r="B780" s="76"/>
      <c r="C780" s="76"/>
      <c r="D780" s="76"/>
    </row>
    <row r="781" spans="1:4" ht="14.25" x14ac:dyDescent="0.2">
      <c r="A781" s="76"/>
      <c r="B781" s="76"/>
      <c r="C781" s="76"/>
      <c r="D781" s="76"/>
    </row>
    <row r="782" spans="1:4" ht="14.25" x14ac:dyDescent="0.2">
      <c r="A782" s="76"/>
      <c r="B782" s="76"/>
      <c r="C782" s="76"/>
      <c r="D782" s="76"/>
    </row>
    <row r="783" spans="1:4" ht="14.25" x14ac:dyDescent="0.2">
      <c r="A783" s="76"/>
      <c r="B783" s="76"/>
      <c r="C783" s="76"/>
      <c r="D783" s="76"/>
    </row>
    <row r="784" spans="1:4" ht="14.25" x14ac:dyDescent="0.2">
      <c r="A784" s="76"/>
      <c r="B784" s="76"/>
      <c r="C784" s="76"/>
      <c r="D784" s="76"/>
    </row>
    <row r="785" spans="1:4" ht="14.25" x14ac:dyDescent="0.2">
      <c r="A785" s="76"/>
      <c r="B785" s="76"/>
      <c r="C785" s="76"/>
      <c r="D785" s="76"/>
    </row>
    <row r="786" spans="1:4" ht="14.25" x14ac:dyDescent="0.2">
      <c r="A786" s="76"/>
      <c r="B786" s="76"/>
      <c r="C786" s="76"/>
      <c r="D786" s="76"/>
    </row>
    <row r="787" spans="1:4" ht="14.25" x14ac:dyDescent="0.2">
      <c r="A787" s="76"/>
      <c r="B787" s="76"/>
      <c r="C787" s="76"/>
      <c r="D787" s="76"/>
    </row>
    <row r="788" spans="1:4" ht="14.25" x14ac:dyDescent="0.2">
      <c r="A788" s="76"/>
      <c r="B788" s="76"/>
      <c r="C788" s="76"/>
      <c r="D788" s="76"/>
    </row>
    <row r="789" spans="1:4" ht="14.25" x14ac:dyDescent="0.2">
      <c r="A789" s="76"/>
      <c r="B789" s="76"/>
      <c r="C789" s="76"/>
      <c r="D789" s="76"/>
    </row>
    <row r="790" spans="1:4" ht="14.25" x14ac:dyDescent="0.2">
      <c r="A790" s="76"/>
      <c r="B790" s="76"/>
      <c r="C790" s="76"/>
      <c r="D790" s="76"/>
    </row>
    <row r="791" spans="1:4" ht="14.25" x14ac:dyDescent="0.2">
      <c r="A791" s="76"/>
      <c r="B791" s="76"/>
      <c r="C791" s="76"/>
      <c r="D791" s="76"/>
    </row>
    <row r="792" spans="1:4" ht="14.25" x14ac:dyDescent="0.2">
      <c r="A792" s="76"/>
      <c r="B792" s="76"/>
      <c r="C792" s="76"/>
      <c r="D792" s="76"/>
    </row>
    <row r="793" spans="1:4" ht="14.25" x14ac:dyDescent="0.2">
      <c r="A793" s="76"/>
      <c r="B793" s="76"/>
      <c r="C793" s="76"/>
      <c r="D793" s="76"/>
    </row>
    <row r="794" spans="1:4" ht="14.25" x14ac:dyDescent="0.2">
      <c r="A794" s="76"/>
      <c r="B794" s="76"/>
      <c r="C794" s="76"/>
      <c r="D794" s="76"/>
    </row>
    <row r="795" spans="1:4" ht="14.25" x14ac:dyDescent="0.2">
      <c r="A795" s="76"/>
      <c r="B795" s="76"/>
      <c r="C795" s="76"/>
      <c r="D795" s="76"/>
    </row>
    <row r="796" spans="1:4" ht="14.25" x14ac:dyDescent="0.2">
      <c r="A796" s="76"/>
      <c r="B796" s="76"/>
      <c r="C796" s="76"/>
      <c r="D796" s="76"/>
    </row>
    <row r="797" spans="1:4" ht="14.25" x14ac:dyDescent="0.2">
      <c r="A797" s="76"/>
      <c r="B797" s="76"/>
      <c r="C797" s="76"/>
      <c r="D797" s="76"/>
    </row>
    <row r="798" spans="1:4" ht="14.25" x14ac:dyDescent="0.2">
      <c r="A798" s="76"/>
      <c r="B798" s="76"/>
      <c r="C798" s="76"/>
      <c r="D798" s="76"/>
    </row>
    <row r="799" spans="1:4" ht="14.25" x14ac:dyDescent="0.2">
      <c r="A799" s="76"/>
      <c r="B799" s="76"/>
      <c r="C799" s="76"/>
      <c r="D799" s="76"/>
    </row>
    <row r="800" spans="1:4" ht="14.25" x14ac:dyDescent="0.2">
      <c r="A800" s="76"/>
      <c r="B800" s="76"/>
      <c r="C800" s="76"/>
      <c r="D800" s="76"/>
    </row>
    <row r="801" spans="1:4" ht="14.25" x14ac:dyDescent="0.2">
      <c r="A801" s="76"/>
      <c r="B801" s="76"/>
      <c r="C801" s="76"/>
      <c r="D801" s="76"/>
    </row>
    <row r="802" spans="1:4" ht="14.25" x14ac:dyDescent="0.2">
      <c r="A802" s="76"/>
      <c r="B802" s="76"/>
      <c r="C802" s="76"/>
      <c r="D802" s="76"/>
    </row>
    <row r="803" spans="1:4" ht="14.25" x14ac:dyDescent="0.2">
      <c r="A803" s="76"/>
      <c r="B803" s="76"/>
      <c r="C803" s="76"/>
      <c r="D803" s="76"/>
    </row>
    <row r="804" spans="1:4" ht="14.25" x14ac:dyDescent="0.2">
      <c r="A804" s="76"/>
      <c r="B804" s="76"/>
      <c r="C804" s="76"/>
      <c r="D804" s="76"/>
    </row>
    <row r="805" spans="1:4" ht="14.25" x14ac:dyDescent="0.2">
      <c r="A805" s="76"/>
      <c r="B805" s="76"/>
      <c r="C805" s="76"/>
      <c r="D805" s="76"/>
    </row>
    <row r="806" spans="1:4" ht="14.25" x14ac:dyDescent="0.2">
      <c r="A806" s="76"/>
      <c r="B806" s="76"/>
      <c r="C806" s="76"/>
      <c r="D806" s="76"/>
    </row>
    <row r="807" spans="1:4" ht="14.25" x14ac:dyDescent="0.2">
      <c r="A807" s="76"/>
      <c r="B807" s="76"/>
      <c r="C807" s="76"/>
      <c r="D807" s="76"/>
    </row>
    <row r="808" spans="1:4" ht="14.25" x14ac:dyDescent="0.2">
      <c r="A808" s="76"/>
      <c r="B808" s="76"/>
      <c r="C808" s="76"/>
      <c r="D808" s="76"/>
    </row>
    <row r="809" spans="1:4" ht="14.25" x14ac:dyDescent="0.2">
      <c r="A809" s="76"/>
      <c r="B809" s="76"/>
      <c r="C809" s="76"/>
      <c r="D809" s="76"/>
    </row>
    <row r="810" spans="1:4" ht="14.25" x14ac:dyDescent="0.2">
      <c r="A810" s="76"/>
      <c r="B810" s="76"/>
      <c r="C810" s="76"/>
      <c r="D810" s="76"/>
    </row>
    <row r="811" spans="1:4" ht="14.25" x14ac:dyDescent="0.2">
      <c r="A811" s="76"/>
      <c r="B811" s="76"/>
      <c r="C811" s="76"/>
      <c r="D811" s="76"/>
    </row>
    <row r="812" spans="1:4" ht="14.25" x14ac:dyDescent="0.2">
      <c r="A812" s="76"/>
      <c r="B812" s="76"/>
      <c r="C812" s="76"/>
      <c r="D812" s="76"/>
    </row>
    <row r="813" spans="1:4" ht="14.25" x14ac:dyDescent="0.2">
      <c r="A813" s="76"/>
      <c r="B813" s="76"/>
      <c r="C813" s="76"/>
      <c r="D813" s="76"/>
    </row>
    <row r="814" spans="1:4" ht="14.25" x14ac:dyDescent="0.2">
      <c r="A814" s="76"/>
      <c r="B814" s="76"/>
      <c r="C814" s="76"/>
      <c r="D814" s="76"/>
    </row>
    <row r="815" spans="1:4" ht="14.25" x14ac:dyDescent="0.2">
      <c r="A815" s="76"/>
      <c r="B815" s="76"/>
      <c r="C815" s="76"/>
      <c r="D815" s="76"/>
    </row>
    <row r="816" spans="1:4" ht="14.25" x14ac:dyDescent="0.2">
      <c r="A816" s="76"/>
      <c r="B816" s="76"/>
      <c r="C816" s="76"/>
      <c r="D816" s="76"/>
    </row>
    <row r="817" spans="1:4" ht="14.25" x14ac:dyDescent="0.2">
      <c r="A817" s="76"/>
      <c r="B817" s="76"/>
      <c r="C817" s="76"/>
      <c r="D817" s="76"/>
    </row>
    <row r="818" spans="1:4" ht="14.25" x14ac:dyDescent="0.2">
      <c r="A818" s="76"/>
      <c r="B818" s="76"/>
      <c r="C818" s="76"/>
      <c r="D818" s="76"/>
    </row>
    <row r="819" spans="1:4" ht="14.25" x14ac:dyDescent="0.2">
      <c r="A819" s="76"/>
      <c r="B819" s="76"/>
      <c r="C819" s="76"/>
      <c r="D819" s="76"/>
    </row>
    <row r="820" spans="1:4" ht="14.25" x14ac:dyDescent="0.2">
      <c r="A820" s="76"/>
      <c r="B820" s="76"/>
      <c r="C820" s="76"/>
      <c r="D820" s="76"/>
    </row>
    <row r="821" spans="1:4" ht="14.25" x14ac:dyDescent="0.2">
      <c r="A821" s="76"/>
      <c r="B821" s="76"/>
      <c r="C821" s="76"/>
      <c r="D821" s="76"/>
    </row>
    <row r="822" spans="1:4" ht="14.25" x14ac:dyDescent="0.2">
      <c r="A822" s="76"/>
      <c r="B822" s="76"/>
      <c r="C822" s="76"/>
      <c r="D822" s="76"/>
    </row>
    <row r="823" spans="1:4" ht="14.25" x14ac:dyDescent="0.2">
      <c r="A823" s="76"/>
      <c r="B823" s="76"/>
      <c r="C823" s="76"/>
      <c r="D823" s="76"/>
    </row>
    <row r="824" spans="1:4" ht="14.25" x14ac:dyDescent="0.2">
      <c r="A824" s="76"/>
      <c r="B824" s="76"/>
      <c r="C824" s="76"/>
      <c r="D824" s="76"/>
    </row>
    <row r="825" spans="1:4" ht="14.25" x14ac:dyDescent="0.2">
      <c r="A825" s="76"/>
      <c r="B825" s="76"/>
      <c r="C825" s="76"/>
      <c r="D825" s="76"/>
    </row>
    <row r="826" spans="1:4" ht="14.25" x14ac:dyDescent="0.2">
      <c r="A826" s="76"/>
      <c r="B826" s="76"/>
      <c r="C826" s="76"/>
      <c r="D826" s="76"/>
    </row>
    <row r="827" spans="1:4" ht="14.25" x14ac:dyDescent="0.2">
      <c r="A827" s="76"/>
      <c r="B827" s="76"/>
      <c r="C827" s="76"/>
      <c r="D827" s="76"/>
    </row>
    <row r="828" spans="1:4" ht="14.25" x14ac:dyDescent="0.2">
      <c r="A828" s="76"/>
      <c r="B828" s="76"/>
      <c r="C828" s="76"/>
      <c r="D828" s="76"/>
    </row>
    <row r="829" spans="1:4" ht="14.25" x14ac:dyDescent="0.2">
      <c r="A829" s="76"/>
      <c r="B829" s="76"/>
      <c r="C829" s="76"/>
      <c r="D829" s="76"/>
    </row>
    <row r="830" spans="1:4" ht="14.25" x14ac:dyDescent="0.2">
      <c r="A830" s="76"/>
      <c r="B830" s="76"/>
      <c r="C830" s="76"/>
      <c r="D830" s="76"/>
    </row>
    <row r="831" spans="1:4" ht="14.25" x14ac:dyDescent="0.2">
      <c r="A831" s="76"/>
      <c r="B831" s="76"/>
      <c r="C831" s="76"/>
      <c r="D831" s="76"/>
    </row>
    <row r="832" spans="1:4" ht="14.25" x14ac:dyDescent="0.2">
      <c r="A832" s="76"/>
      <c r="B832" s="76"/>
      <c r="C832" s="76"/>
      <c r="D832" s="76"/>
    </row>
    <row r="833" spans="1:4" ht="14.25" x14ac:dyDescent="0.2">
      <c r="A833" s="76"/>
      <c r="B833" s="76"/>
      <c r="C833" s="76"/>
      <c r="D833" s="76"/>
    </row>
    <row r="834" spans="1:4" ht="14.25" x14ac:dyDescent="0.2">
      <c r="A834" s="76"/>
      <c r="B834" s="76"/>
      <c r="C834" s="76"/>
      <c r="D834" s="76"/>
    </row>
    <row r="835" spans="1:4" ht="14.25" x14ac:dyDescent="0.2">
      <c r="A835" s="76"/>
      <c r="B835" s="76"/>
      <c r="C835" s="76"/>
      <c r="D835" s="76"/>
    </row>
    <row r="836" spans="1:4" ht="14.25" x14ac:dyDescent="0.2">
      <c r="A836" s="76"/>
      <c r="B836" s="76"/>
      <c r="C836" s="76"/>
      <c r="D836" s="76"/>
    </row>
    <row r="837" spans="1:4" ht="14.25" x14ac:dyDescent="0.2">
      <c r="A837" s="76"/>
      <c r="B837" s="76"/>
      <c r="C837" s="76"/>
      <c r="D837" s="76"/>
    </row>
    <row r="838" spans="1:4" ht="14.25" x14ac:dyDescent="0.2">
      <c r="A838" s="76"/>
      <c r="B838" s="76"/>
      <c r="C838" s="76"/>
      <c r="D838" s="76"/>
    </row>
    <row r="839" spans="1:4" ht="14.25" x14ac:dyDescent="0.2">
      <c r="A839" s="76"/>
      <c r="B839" s="76"/>
      <c r="C839" s="76"/>
      <c r="D839" s="76"/>
    </row>
    <row r="840" spans="1:4" ht="14.25" x14ac:dyDescent="0.2">
      <c r="A840" s="76"/>
      <c r="B840" s="76"/>
      <c r="C840" s="76"/>
      <c r="D840" s="76"/>
    </row>
    <row r="841" spans="1:4" ht="14.25" x14ac:dyDescent="0.2">
      <c r="A841" s="76"/>
      <c r="B841" s="76"/>
      <c r="C841" s="76"/>
      <c r="D841" s="76"/>
    </row>
    <row r="842" spans="1:4" ht="14.25" x14ac:dyDescent="0.2">
      <c r="A842" s="76"/>
      <c r="B842" s="76"/>
      <c r="C842" s="76"/>
      <c r="D842" s="76"/>
    </row>
    <row r="843" spans="1:4" ht="14.25" x14ac:dyDescent="0.2">
      <c r="A843" s="76"/>
      <c r="B843" s="76"/>
      <c r="C843" s="76"/>
      <c r="D843" s="76"/>
    </row>
    <row r="844" spans="1:4" ht="14.25" x14ac:dyDescent="0.2">
      <c r="A844" s="76"/>
      <c r="B844" s="76"/>
      <c r="C844" s="76"/>
      <c r="D844" s="76"/>
    </row>
    <row r="845" spans="1:4" ht="14.25" x14ac:dyDescent="0.2">
      <c r="A845" s="76"/>
      <c r="B845" s="76"/>
      <c r="C845" s="76"/>
      <c r="D845" s="76"/>
    </row>
    <row r="846" spans="1:4" ht="14.25" x14ac:dyDescent="0.2">
      <c r="A846" s="76"/>
      <c r="B846" s="76"/>
      <c r="C846" s="76"/>
      <c r="D846" s="76"/>
    </row>
    <row r="847" spans="1:4" ht="14.25" x14ac:dyDescent="0.2">
      <c r="A847" s="76"/>
      <c r="B847" s="76"/>
      <c r="C847" s="76"/>
      <c r="D847" s="76"/>
    </row>
    <row r="848" spans="1:4" ht="14.25" x14ac:dyDescent="0.2">
      <c r="A848" s="76"/>
      <c r="B848" s="76"/>
      <c r="C848" s="76"/>
      <c r="D848" s="76"/>
    </row>
    <row r="849" spans="1:4" ht="14.25" x14ac:dyDescent="0.2">
      <c r="A849" s="76"/>
      <c r="B849" s="76"/>
      <c r="C849" s="76"/>
      <c r="D849" s="76"/>
    </row>
    <row r="850" spans="1:4" ht="14.25" x14ac:dyDescent="0.2">
      <c r="A850" s="76"/>
      <c r="B850" s="76"/>
      <c r="C850" s="76"/>
      <c r="D850" s="76"/>
    </row>
    <row r="851" spans="1:4" ht="14.25" x14ac:dyDescent="0.2">
      <c r="A851" s="76"/>
      <c r="B851" s="76"/>
      <c r="C851" s="76"/>
      <c r="D851" s="76"/>
    </row>
    <row r="852" spans="1:4" ht="14.25" x14ac:dyDescent="0.2">
      <c r="A852" s="76"/>
      <c r="B852" s="76"/>
      <c r="C852" s="76"/>
      <c r="D852" s="76"/>
    </row>
    <row r="853" spans="1:4" ht="14.25" x14ac:dyDescent="0.2">
      <c r="A853" s="76"/>
      <c r="B853" s="76"/>
      <c r="C853" s="76"/>
      <c r="D853" s="76"/>
    </row>
    <row r="854" spans="1:4" ht="14.25" x14ac:dyDescent="0.2">
      <c r="A854" s="76"/>
      <c r="B854" s="76"/>
      <c r="C854" s="76"/>
      <c r="D854" s="76"/>
    </row>
    <row r="855" spans="1:4" ht="14.25" x14ac:dyDescent="0.2">
      <c r="A855" s="76"/>
      <c r="B855" s="76"/>
      <c r="C855" s="76"/>
      <c r="D855" s="76"/>
    </row>
    <row r="856" spans="1:4" ht="14.25" x14ac:dyDescent="0.2">
      <c r="A856" s="76"/>
      <c r="B856" s="76"/>
      <c r="C856" s="76"/>
      <c r="D856" s="76"/>
    </row>
    <row r="857" spans="1:4" ht="14.25" x14ac:dyDescent="0.2">
      <c r="A857" s="76"/>
      <c r="B857" s="76"/>
      <c r="C857" s="76"/>
      <c r="D857" s="76"/>
    </row>
    <row r="858" spans="1:4" ht="14.25" x14ac:dyDescent="0.2">
      <c r="A858" s="76"/>
      <c r="B858" s="76"/>
      <c r="C858" s="76"/>
      <c r="D858" s="76"/>
    </row>
    <row r="859" spans="1:4" ht="14.25" x14ac:dyDescent="0.2">
      <c r="A859" s="76"/>
      <c r="B859" s="76"/>
      <c r="C859" s="76"/>
      <c r="D859" s="76"/>
    </row>
    <row r="860" spans="1:4" ht="14.25" x14ac:dyDescent="0.2">
      <c r="A860" s="76"/>
      <c r="B860" s="76"/>
      <c r="C860" s="76"/>
      <c r="D860" s="76"/>
    </row>
    <row r="861" spans="1:4" ht="14.25" x14ac:dyDescent="0.2">
      <c r="A861" s="76"/>
      <c r="B861" s="76"/>
      <c r="C861" s="76"/>
      <c r="D861" s="76"/>
    </row>
    <row r="862" spans="1:4" ht="14.25" x14ac:dyDescent="0.2">
      <c r="A862" s="76"/>
      <c r="B862" s="76"/>
      <c r="C862" s="76"/>
      <c r="D862" s="76"/>
    </row>
    <row r="863" spans="1:4" ht="14.25" x14ac:dyDescent="0.2">
      <c r="A863" s="76"/>
      <c r="B863" s="76"/>
      <c r="C863" s="76"/>
      <c r="D863" s="76"/>
    </row>
    <row r="864" spans="1:4" ht="14.25" x14ac:dyDescent="0.2">
      <c r="A864" s="76"/>
      <c r="B864" s="76"/>
      <c r="C864" s="76"/>
      <c r="D864" s="76"/>
    </row>
    <row r="865" spans="1:4" ht="14.25" x14ac:dyDescent="0.2">
      <c r="A865" s="76"/>
      <c r="B865" s="76"/>
      <c r="C865" s="76"/>
      <c r="D865" s="76"/>
    </row>
    <row r="866" spans="1:4" ht="14.25" x14ac:dyDescent="0.2">
      <c r="A866" s="76"/>
      <c r="B866" s="76"/>
      <c r="C866" s="76"/>
      <c r="D866" s="76"/>
    </row>
    <row r="867" spans="1:4" ht="14.25" x14ac:dyDescent="0.2">
      <c r="A867" s="76"/>
      <c r="B867" s="76"/>
      <c r="C867" s="76"/>
      <c r="D867" s="76"/>
    </row>
    <row r="868" spans="1:4" ht="14.25" x14ac:dyDescent="0.2">
      <c r="A868" s="76"/>
      <c r="B868" s="76"/>
      <c r="C868" s="76"/>
      <c r="D868" s="76"/>
    </row>
    <row r="869" spans="1:4" ht="14.25" x14ac:dyDescent="0.2">
      <c r="A869" s="76"/>
      <c r="B869" s="76"/>
      <c r="C869" s="76"/>
      <c r="D869" s="76"/>
    </row>
    <row r="870" spans="1:4" ht="14.25" x14ac:dyDescent="0.2">
      <c r="A870" s="76"/>
      <c r="B870" s="76"/>
      <c r="C870" s="76"/>
      <c r="D870" s="76"/>
    </row>
    <row r="871" spans="1:4" ht="14.25" x14ac:dyDescent="0.2">
      <c r="A871" s="76"/>
      <c r="B871" s="76"/>
      <c r="C871" s="76"/>
      <c r="D871" s="76"/>
    </row>
    <row r="872" spans="1:4" ht="14.25" x14ac:dyDescent="0.2">
      <c r="A872" s="76"/>
      <c r="B872" s="76"/>
      <c r="C872" s="76"/>
      <c r="D872" s="76"/>
    </row>
    <row r="873" spans="1:4" ht="14.25" x14ac:dyDescent="0.2">
      <c r="A873" s="76"/>
      <c r="B873" s="76"/>
      <c r="C873" s="76"/>
      <c r="D873" s="76"/>
    </row>
    <row r="874" spans="1:4" ht="14.25" x14ac:dyDescent="0.2">
      <c r="A874" s="76"/>
      <c r="B874" s="76"/>
      <c r="C874" s="76"/>
      <c r="D874" s="76"/>
    </row>
    <row r="875" spans="1:4" ht="14.25" x14ac:dyDescent="0.2">
      <c r="A875" s="76"/>
      <c r="B875" s="76"/>
      <c r="C875" s="76"/>
      <c r="D875" s="76"/>
    </row>
    <row r="876" spans="1:4" ht="14.25" x14ac:dyDescent="0.2">
      <c r="A876" s="76"/>
      <c r="B876" s="76"/>
      <c r="C876" s="76"/>
      <c r="D876" s="76"/>
    </row>
    <row r="877" spans="1:4" ht="14.25" x14ac:dyDescent="0.2">
      <c r="A877" s="76"/>
      <c r="B877" s="76"/>
      <c r="C877" s="76"/>
      <c r="D877" s="76"/>
    </row>
    <row r="878" spans="1:4" ht="14.25" x14ac:dyDescent="0.2">
      <c r="A878" s="76"/>
      <c r="B878" s="76"/>
      <c r="C878" s="76"/>
      <c r="D878" s="76"/>
    </row>
    <row r="879" spans="1:4" ht="14.25" x14ac:dyDescent="0.2">
      <c r="A879" s="76"/>
      <c r="B879" s="76"/>
      <c r="C879" s="76"/>
      <c r="D879" s="76"/>
    </row>
    <row r="880" spans="1:4" ht="14.25" x14ac:dyDescent="0.2">
      <c r="A880" s="76"/>
      <c r="B880" s="76"/>
      <c r="C880" s="76"/>
      <c r="D880" s="76"/>
    </row>
    <row r="881" spans="1:4" ht="14.25" x14ac:dyDescent="0.2">
      <c r="A881" s="76"/>
      <c r="B881" s="76"/>
      <c r="C881" s="76"/>
      <c r="D881" s="76"/>
    </row>
    <row r="882" spans="1:4" ht="14.25" x14ac:dyDescent="0.2">
      <c r="A882" s="76"/>
      <c r="B882" s="76"/>
      <c r="C882" s="76"/>
      <c r="D882" s="76"/>
    </row>
    <row r="883" spans="1:4" ht="14.25" x14ac:dyDescent="0.2">
      <c r="A883" s="76"/>
      <c r="B883" s="76"/>
      <c r="C883" s="76"/>
      <c r="D883" s="76"/>
    </row>
    <row r="884" spans="1:4" ht="14.25" x14ac:dyDescent="0.2">
      <c r="A884" s="76"/>
      <c r="B884" s="76"/>
      <c r="C884" s="76"/>
      <c r="D884" s="76"/>
    </row>
    <row r="885" spans="1:4" ht="14.25" x14ac:dyDescent="0.2">
      <c r="A885" s="76"/>
      <c r="B885" s="76"/>
      <c r="C885" s="76"/>
      <c r="D885" s="76"/>
    </row>
    <row r="886" spans="1:4" ht="14.25" x14ac:dyDescent="0.2">
      <c r="A886" s="76"/>
      <c r="B886" s="76"/>
      <c r="C886" s="76"/>
      <c r="D886" s="76"/>
    </row>
    <row r="887" spans="1:4" ht="14.25" x14ac:dyDescent="0.2">
      <c r="A887" s="76"/>
      <c r="B887" s="76"/>
      <c r="C887" s="76"/>
      <c r="D887" s="76"/>
    </row>
    <row r="888" spans="1:4" ht="14.25" x14ac:dyDescent="0.2">
      <c r="A888" s="76"/>
      <c r="B888" s="76"/>
      <c r="C888" s="76"/>
      <c r="D888" s="76"/>
    </row>
    <row r="889" spans="1:4" ht="14.25" x14ac:dyDescent="0.2">
      <c r="A889" s="76"/>
      <c r="B889" s="76"/>
      <c r="C889" s="76"/>
      <c r="D889" s="76"/>
    </row>
    <row r="890" spans="1:4" ht="14.25" x14ac:dyDescent="0.2">
      <c r="A890" s="76"/>
      <c r="B890" s="76"/>
      <c r="C890" s="76"/>
      <c r="D890" s="76"/>
    </row>
    <row r="891" spans="1:4" ht="14.25" x14ac:dyDescent="0.2">
      <c r="A891" s="76"/>
      <c r="B891" s="76"/>
      <c r="C891" s="76"/>
      <c r="D891" s="76"/>
    </row>
    <row r="892" spans="1:4" ht="14.25" x14ac:dyDescent="0.2">
      <c r="A892" s="76"/>
      <c r="B892" s="76"/>
      <c r="C892" s="76"/>
      <c r="D892" s="76"/>
    </row>
    <row r="893" spans="1:4" ht="14.25" x14ac:dyDescent="0.2">
      <c r="A893" s="76"/>
      <c r="B893" s="76"/>
      <c r="C893" s="76"/>
      <c r="D893" s="76"/>
    </row>
    <row r="894" spans="1:4" ht="14.25" x14ac:dyDescent="0.2">
      <c r="A894" s="76"/>
      <c r="B894" s="76"/>
      <c r="C894" s="76"/>
      <c r="D894" s="76"/>
    </row>
    <row r="895" spans="1:4" ht="14.25" x14ac:dyDescent="0.2">
      <c r="A895" s="76"/>
      <c r="B895" s="76"/>
      <c r="C895" s="76"/>
      <c r="D895" s="76"/>
    </row>
    <row r="896" spans="1:4" ht="14.25" x14ac:dyDescent="0.2">
      <c r="A896" s="76"/>
      <c r="B896" s="76"/>
      <c r="C896" s="76"/>
      <c r="D896" s="76"/>
    </row>
    <row r="897" spans="1:4" ht="14.25" x14ac:dyDescent="0.2">
      <c r="A897" s="76"/>
      <c r="B897" s="76"/>
      <c r="C897" s="76"/>
      <c r="D897" s="76"/>
    </row>
    <row r="898" spans="1:4" ht="14.25" x14ac:dyDescent="0.2">
      <c r="A898" s="76"/>
      <c r="B898" s="76"/>
      <c r="C898" s="76"/>
      <c r="D898" s="76"/>
    </row>
    <row r="899" spans="1:4" ht="14.25" x14ac:dyDescent="0.2">
      <c r="A899" s="76"/>
      <c r="B899" s="76"/>
      <c r="C899" s="76"/>
      <c r="D899" s="76"/>
    </row>
    <row r="900" spans="1:4" ht="14.25" x14ac:dyDescent="0.2">
      <c r="A900" s="76"/>
      <c r="B900" s="76"/>
      <c r="C900" s="76"/>
      <c r="D900" s="76"/>
    </row>
    <row r="901" spans="1:4" ht="14.25" x14ac:dyDescent="0.2">
      <c r="A901" s="76"/>
      <c r="B901" s="76"/>
      <c r="C901" s="76"/>
      <c r="D901" s="76"/>
    </row>
    <row r="902" spans="1:4" ht="14.25" x14ac:dyDescent="0.2">
      <c r="A902" s="76"/>
      <c r="B902" s="76"/>
      <c r="C902" s="76"/>
      <c r="D902" s="76"/>
    </row>
    <row r="903" spans="1:4" ht="14.25" x14ac:dyDescent="0.2">
      <c r="A903" s="76"/>
      <c r="B903" s="76"/>
      <c r="C903" s="76"/>
      <c r="D903" s="76"/>
    </row>
    <row r="904" spans="1:4" ht="14.25" x14ac:dyDescent="0.2">
      <c r="A904" s="76"/>
      <c r="B904" s="76"/>
      <c r="C904" s="76"/>
      <c r="D904" s="76"/>
    </row>
    <row r="905" spans="1:4" ht="14.25" x14ac:dyDescent="0.2">
      <c r="A905" s="76"/>
      <c r="B905" s="76"/>
      <c r="C905" s="76"/>
      <c r="D905" s="76"/>
    </row>
    <row r="906" spans="1:4" ht="14.25" x14ac:dyDescent="0.2">
      <c r="A906" s="76"/>
      <c r="B906" s="76"/>
      <c r="C906" s="76"/>
      <c r="D906" s="76"/>
    </row>
    <row r="907" spans="1:4" ht="14.25" x14ac:dyDescent="0.2">
      <c r="A907" s="76"/>
      <c r="B907" s="76"/>
      <c r="C907" s="76"/>
      <c r="D907" s="76"/>
    </row>
    <row r="908" spans="1:4" ht="14.25" x14ac:dyDescent="0.2">
      <c r="A908" s="76"/>
      <c r="B908" s="76"/>
      <c r="C908" s="76"/>
      <c r="D908" s="76"/>
    </row>
    <row r="909" spans="1:4" ht="14.25" x14ac:dyDescent="0.2">
      <c r="A909" s="76"/>
      <c r="B909" s="76"/>
      <c r="C909" s="76"/>
      <c r="D909" s="76"/>
    </row>
    <row r="910" spans="1:4" ht="14.25" x14ac:dyDescent="0.2">
      <c r="A910" s="76"/>
      <c r="B910" s="76"/>
      <c r="C910" s="76"/>
      <c r="D910" s="76"/>
    </row>
    <row r="911" spans="1:4" ht="14.25" x14ac:dyDescent="0.2">
      <c r="A911" s="76"/>
      <c r="B911" s="76"/>
      <c r="C911" s="76"/>
      <c r="D911" s="76"/>
    </row>
    <row r="912" spans="1:4" ht="14.25" x14ac:dyDescent="0.2">
      <c r="A912" s="76"/>
      <c r="B912" s="76"/>
      <c r="C912" s="76"/>
      <c r="D912" s="76"/>
    </row>
    <row r="913" spans="1:4" ht="14.25" x14ac:dyDescent="0.2">
      <c r="A913" s="76"/>
      <c r="B913" s="76"/>
      <c r="C913" s="76"/>
      <c r="D913" s="76"/>
    </row>
    <row r="914" spans="1:4" ht="14.25" x14ac:dyDescent="0.2">
      <c r="A914" s="76"/>
      <c r="B914" s="76"/>
      <c r="C914" s="76"/>
      <c r="D914" s="76"/>
    </row>
    <row r="915" spans="1:4" ht="14.25" x14ac:dyDescent="0.2">
      <c r="A915" s="76"/>
      <c r="B915" s="76"/>
      <c r="C915" s="76"/>
      <c r="D915" s="76"/>
    </row>
    <row r="916" spans="1:4" ht="14.25" x14ac:dyDescent="0.2">
      <c r="A916" s="76"/>
      <c r="B916" s="76"/>
      <c r="C916" s="76"/>
      <c r="D916" s="76"/>
    </row>
    <row r="917" spans="1:4" ht="14.25" x14ac:dyDescent="0.2">
      <c r="A917" s="76"/>
      <c r="B917" s="76"/>
      <c r="C917" s="76"/>
      <c r="D917" s="76"/>
    </row>
    <row r="918" spans="1:4" ht="14.25" x14ac:dyDescent="0.2">
      <c r="A918" s="76"/>
      <c r="B918" s="76"/>
      <c r="C918" s="76"/>
      <c r="D918" s="76"/>
    </row>
    <row r="919" spans="1:4" ht="14.25" x14ac:dyDescent="0.2">
      <c r="A919" s="76"/>
      <c r="B919" s="76"/>
      <c r="C919" s="76"/>
      <c r="D919" s="76"/>
    </row>
    <row r="920" spans="1:4" ht="14.25" x14ac:dyDescent="0.2">
      <c r="A920" s="76"/>
      <c r="B920" s="76"/>
      <c r="C920" s="76"/>
      <c r="D920" s="76"/>
    </row>
    <row r="921" spans="1:4" ht="14.25" x14ac:dyDescent="0.2">
      <c r="A921" s="76"/>
      <c r="B921" s="76"/>
      <c r="C921" s="76"/>
      <c r="D921" s="76"/>
    </row>
    <row r="922" spans="1:4" ht="14.25" x14ac:dyDescent="0.2">
      <c r="A922" s="76"/>
      <c r="B922" s="76"/>
      <c r="C922" s="76"/>
      <c r="D922" s="76"/>
    </row>
    <row r="923" spans="1:4" ht="14.25" x14ac:dyDescent="0.2">
      <c r="A923" s="76"/>
      <c r="B923" s="76"/>
      <c r="C923" s="76"/>
      <c r="D923" s="76"/>
    </row>
    <row r="924" spans="1:4" ht="14.25" x14ac:dyDescent="0.2">
      <c r="A924" s="76"/>
      <c r="B924" s="76"/>
      <c r="C924" s="76"/>
      <c r="D924" s="76"/>
    </row>
    <row r="925" spans="1:4" ht="14.25" x14ac:dyDescent="0.2">
      <c r="A925" s="76"/>
      <c r="B925" s="76"/>
      <c r="C925" s="76"/>
      <c r="D925" s="76"/>
    </row>
    <row r="926" spans="1:4" ht="14.25" x14ac:dyDescent="0.2">
      <c r="A926" s="76"/>
      <c r="B926" s="76"/>
      <c r="C926" s="76"/>
      <c r="D926" s="76"/>
    </row>
    <row r="927" spans="1:4" ht="14.25" x14ac:dyDescent="0.2">
      <c r="A927" s="76"/>
      <c r="B927" s="76"/>
      <c r="C927" s="76"/>
      <c r="D927" s="76"/>
    </row>
    <row r="928" spans="1:4" ht="14.25" x14ac:dyDescent="0.2">
      <c r="A928" s="76"/>
      <c r="B928" s="76"/>
      <c r="C928" s="76"/>
      <c r="D928" s="76"/>
    </row>
    <row r="929" spans="1:4" ht="14.25" x14ac:dyDescent="0.2">
      <c r="A929" s="76"/>
      <c r="B929" s="76"/>
      <c r="C929" s="76"/>
      <c r="D929" s="76"/>
    </row>
    <row r="930" spans="1:4" ht="14.25" x14ac:dyDescent="0.2">
      <c r="A930" s="76"/>
      <c r="B930" s="76"/>
      <c r="C930" s="76"/>
      <c r="D930" s="76"/>
    </row>
    <row r="931" spans="1:4" ht="14.25" x14ac:dyDescent="0.2">
      <c r="A931" s="76"/>
      <c r="B931" s="76"/>
      <c r="C931" s="76"/>
      <c r="D931" s="76"/>
    </row>
    <row r="932" spans="1:4" ht="14.25" x14ac:dyDescent="0.2">
      <c r="A932" s="76"/>
      <c r="B932" s="76"/>
      <c r="C932" s="76"/>
      <c r="D932" s="76"/>
    </row>
    <row r="933" spans="1:4" ht="14.25" x14ac:dyDescent="0.2">
      <c r="A933" s="76"/>
      <c r="B933" s="76"/>
      <c r="C933" s="76"/>
      <c r="D933" s="76"/>
    </row>
    <row r="934" spans="1:4" ht="14.25" x14ac:dyDescent="0.2">
      <c r="A934" s="76"/>
      <c r="B934" s="76"/>
      <c r="C934" s="76"/>
      <c r="D934" s="76"/>
    </row>
    <row r="935" spans="1:4" ht="14.25" x14ac:dyDescent="0.2">
      <c r="A935" s="76"/>
      <c r="B935" s="76"/>
      <c r="C935" s="76"/>
      <c r="D935" s="76"/>
    </row>
    <row r="936" spans="1:4" ht="14.25" x14ac:dyDescent="0.2">
      <c r="A936" s="76"/>
      <c r="B936" s="76"/>
      <c r="C936" s="76"/>
      <c r="D936" s="76"/>
    </row>
    <row r="937" spans="1:4" ht="14.25" x14ac:dyDescent="0.2">
      <c r="A937" s="76"/>
      <c r="B937" s="76"/>
      <c r="C937" s="76"/>
      <c r="D937" s="76"/>
    </row>
    <row r="938" spans="1:4" ht="14.25" x14ac:dyDescent="0.2">
      <c r="A938" s="76"/>
      <c r="B938" s="76"/>
      <c r="C938" s="76"/>
      <c r="D938" s="76"/>
    </row>
    <row r="939" spans="1:4" ht="14.25" x14ac:dyDescent="0.2">
      <c r="A939" s="76"/>
      <c r="B939" s="76"/>
      <c r="C939" s="76"/>
      <c r="D939" s="76"/>
    </row>
    <row r="940" spans="1:4" ht="14.25" x14ac:dyDescent="0.2">
      <c r="A940" s="76"/>
      <c r="B940" s="76"/>
      <c r="C940" s="76"/>
      <c r="D940" s="76"/>
    </row>
    <row r="941" spans="1:4" ht="14.25" x14ac:dyDescent="0.2">
      <c r="A941" s="76"/>
      <c r="B941" s="76"/>
      <c r="C941" s="76"/>
      <c r="D941" s="76"/>
    </row>
    <row r="942" spans="1:4" ht="14.25" x14ac:dyDescent="0.2">
      <c r="A942" s="76"/>
      <c r="B942" s="76"/>
      <c r="C942" s="76"/>
      <c r="D942" s="76"/>
    </row>
    <row r="943" spans="1:4" ht="14.25" x14ac:dyDescent="0.2">
      <c r="A943" s="76"/>
      <c r="B943" s="76"/>
      <c r="C943" s="76"/>
      <c r="D943" s="76"/>
    </row>
    <row r="944" spans="1:4" ht="14.25" x14ac:dyDescent="0.2">
      <c r="A944" s="76"/>
      <c r="B944" s="76"/>
      <c r="C944" s="76"/>
      <c r="D944" s="76"/>
    </row>
    <row r="945" spans="1:4" ht="14.25" x14ac:dyDescent="0.2">
      <c r="A945" s="76"/>
      <c r="B945" s="76"/>
      <c r="C945" s="76"/>
      <c r="D945" s="76"/>
    </row>
    <row r="946" spans="1:4" ht="14.25" x14ac:dyDescent="0.2">
      <c r="A946" s="76"/>
      <c r="B946" s="76"/>
      <c r="C946" s="76"/>
      <c r="D946" s="76"/>
    </row>
    <row r="947" spans="1:4" ht="14.25" x14ac:dyDescent="0.2">
      <c r="A947" s="76"/>
      <c r="B947" s="76"/>
      <c r="C947" s="76"/>
      <c r="D947" s="76"/>
    </row>
    <row r="948" spans="1:4" ht="14.25" x14ac:dyDescent="0.2">
      <c r="A948" s="76"/>
      <c r="B948" s="76"/>
      <c r="C948" s="76"/>
      <c r="D948" s="76"/>
    </row>
    <row r="949" spans="1:4" ht="14.25" x14ac:dyDescent="0.2">
      <c r="A949" s="76"/>
      <c r="B949" s="76"/>
      <c r="C949" s="76"/>
      <c r="D949" s="76"/>
    </row>
    <row r="950" spans="1:4" ht="14.25" x14ac:dyDescent="0.2">
      <c r="A950" s="76"/>
      <c r="B950" s="76"/>
      <c r="C950" s="76"/>
      <c r="D950" s="76"/>
    </row>
    <row r="951" spans="1:4" ht="14.25" x14ac:dyDescent="0.2">
      <c r="A951" s="76"/>
      <c r="B951" s="76"/>
      <c r="C951" s="76"/>
      <c r="D951" s="76"/>
    </row>
    <row r="952" spans="1:4" ht="14.25" x14ac:dyDescent="0.2">
      <c r="A952" s="76"/>
      <c r="B952" s="76"/>
      <c r="C952" s="76"/>
      <c r="D952" s="76"/>
    </row>
    <row r="953" spans="1:4" ht="14.25" x14ac:dyDescent="0.2">
      <c r="A953" s="76"/>
      <c r="B953" s="76"/>
      <c r="C953" s="76"/>
      <c r="D953" s="76"/>
    </row>
    <row r="954" spans="1:4" ht="14.25" x14ac:dyDescent="0.2">
      <c r="A954" s="76"/>
      <c r="B954" s="76"/>
      <c r="C954" s="76"/>
      <c r="D954" s="76"/>
    </row>
    <row r="955" spans="1:4" ht="14.25" x14ac:dyDescent="0.2">
      <c r="A955" s="76"/>
      <c r="B955" s="76"/>
      <c r="C955" s="76"/>
      <c r="D955" s="76"/>
    </row>
    <row r="956" spans="1:4" ht="14.25" x14ac:dyDescent="0.2">
      <c r="A956" s="76"/>
      <c r="B956" s="76"/>
      <c r="C956" s="76"/>
      <c r="D956" s="76"/>
    </row>
    <row r="957" spans="1:4" ht="14.25" x14ac:dyDescent="0.2">
      <c r="A957" s="76"/>
      <c r="B957" s="76"/>
      <c r="C957" s="76"/>
      <c r="D957" s="76"/>
    </row>
    <row r="958" spans="1:4" ht="14.25" x14ac:dyDescent="0.2">
      <c r="A958" s="76"/>
      <c r="B958" s="76"/>
      <c r="C958" s="76"/>
      <c r="D958" s="76"/>
    </row>
    <row r="959" spans="1:4" ht="14.25" x14ac:dyDescent="0.2">
      <c r="A959" s="76"/>
      <c r="B959" s="76"/>
      <c r="C959" s="76"/>
      <c r="D959" s="76"/>
    </row>
    <row r="960" spans="1:4" ht="14.25" x14ac:dyDescent="0.2">
      <c r="A960" s="76"/>
      <c r="B960" s="76"/>
      <c r="C960" s="76"/>
      <c r="D960" s="76"/>
    </row>
    <row r="961" spans="1:4" ht="14.25" x14ac:dyDescent="0.2">
      <c r="A961" s="76"/>
      <c r="B961" s="76"/>
      <c r="C961" s="76"/>
      <c r="D961" s="76"/>
    </row>
    <row r="962" spans="1:4" ht="14.25" x14ac:dyDescent="0.2">
      <c r="A962" s="76"/>
      <c r="B962" s="76"/>
      <c r="C962" s="76"/>
      <c r="D962" s="76"/>
    </row>
    <row r="963" spans="1:4" ht="14.25" x14ac:dyDescent="0.2">
      <c r="A963" s="76"/>
      <c r="B963" s="76"/>
      <c r="C963" s="76"/>
      <c r="D963" s="76"/>
    </row>
    <row r="964" spans="1:4" ht="14.25" x14ac:dyDescent="0.2">
      <c r="A964" s="76"/>
      <c r="B964" s="76"/>
      <c r="C964" s="76"/>
      <c r="D964" s="76"/>
    </row>
    <row r="965" spans="1:4" ht="14.25" x14ac:dyDescent="0.2">
      <c r="A965" s="76"/>
      <c r="B965" s="76"/>
      <c r="C965" s="76"/>
      <c r="D965" s="76"/>
    </row>
    <row r="966" spans="1:4" ht="14.25" x14ac:dyDescent="0.2">
      <c r="A966" s="76"/>
      <c r="B966" s="76"/>
      <c r="C966" s="76"/>
      <c r="D966" s="76"/>
    </row>
    <row r="967" spans="1:4" ht="14.25" x14ac:dyDescent="0.2">
      <c r="A967" s="76"/>
      <c r="B967" s="76"/>
      <c r="C967" s="76"/>
      <c r="D967" s="76"/>
    </row>
    <row r="968" spans="1:4" ht="14.25" x14ac:dyDescent="0.2">
      <c r="A968" s="76"/>
      <c r="B968" s="76"/>
      <c r="C968" s="76"/>
      <c r="D968" s="76"/>
    </row>
    <row r="969" spans="1:4" ht="14.25" x14ac:dyDescent="0.2">
      <c r="A969" s="76"/>
      <c r="B969" s="76"/>
      <c r="C969" s="76"/>
      <c r="D969" s="76"/>
    </row>
    <row r="970" spans="1:4" ht="14.25" x14ac:dyDescent="0.2">
      <c r="A970" s="76"/>
      <c r="B970" s="76"/>
      <c r="C970" s="76"/>
      <c r="D970" s="76"/>
    </row>
    <row r="971" spans="1:4" ht="14.25" x14ac:dyDescent="0.2">
      <c r="A971" s="76"/>
      <c r="B971" s="76"/>
      <c r="C971" s="76"/>
      <c r="D971" s="76"/>
    </row>
    <row r="972" spans="1:4" ht="14.25" x14ac:dyDescent="0.2">
      <c r="A972" s="76"/>
      <c r="B972" s="76"/>
      <c r="C972" s="76"/>
      <c r="D972" s="76"/>
    </row>
    <row r="973" spans="1:4" ht="14.25" x14ac:dyDescent="0.2">
      <c r="A973" s="76"/>
      <c r="B973" s="76"/>
      <c r="C973" s="76"/>
      <c r="D973" s="76"/>
    </row>
    <row r="974" spans="1:4" ht="14.25" x14ac:dyDescent="0.2">
      <c r="A974" s="76"/>
      <c r="B974" s="76"/>
      <c r="C974" s="76"/>
      <c r="D974" s="76"/>
    </row>
    <row r="975" spans="1:4" ht="14.25" x14ac:dyDescent="0.2">
      <c r="A975" s="76"/>
      <c r="B975" s="76"/>
      <c r="C975" s="76"/>
      <c r="D975" s="76"/>
    </row>
    <row r="976" spans="1:4" ht="14.25" x14ac:dyDescent="0.2">
      <c r="A976" s="76"/>
      <c r="B976" s="76"/>
      <c r="C976" s="76"/>
      <c r="D976" s="76"/>
    </row>
    <row r="977" spans="1:4" ht="14.25" x14ac:dyDescent="0.2">
      <c r="A977" s="76"/>
      <c r="B977" s="76"/>
      <c r="C977" s="76"/>
      <c r="D977" s="76"/>
    </row>
    <row r="978" spans="1:4" ht="14.25" x14ac:dyDescent="0.2">
      <c r="A978" s="76"/>
      <c r="B978" s="76"/>
      <c r="C978" s="76"/>
      <c r="D978" s="76"/>
    </row>
    <row r="979" spans="1:4" ht="14.25" x14ac:dyDescent="0.2">
      <c r="A979" s="76"/>
      <c r="B979" s="76"/>
      <c r="C979" s="76"/>
      <c r="D979" s="76"/>
    </row>
    <row r="980" spans="1:4" ht="14.25" x14ac:dyDescent="0.2">
      <c r="A980" s="76"/>
      <c r="B980" s="76"/>
      <c r="C980" s="76"/>
      <c r="D980" s="76"/>
    </row>
    <row r="981" spans="1:4" ht="14.25" x14ac:dyDescent="0.2">
      <c r="A981" s="76"/>
      <c r="B981" s="76"/>
      <c r="C981" s="76"/>
      <c r="D981" s="76"/>
    </row>
    <row r="982" spans="1:4" ht="14.25" x14ac:dyDescent="0.2">
      <c r="A982" s="76"/>
      <c r="B982" s="76"/>
      <c r="C982" s="76"/>
      <c r="D982" s="76"/>
    </row>
    <row r="983" spans="1:4" ht="14.25" x14ac:dyDescent="0.2">
      <c r="A983" s="76"/>
      <c r="B983" s="76"/>
      <c r="C983" s="76"/>
      <c r="D983" s="76"/>
    </row>
    <row r="984" spans="1:4" ht="14.25" x14ac:dyDescent="0.2">
      <c r="A984" s="76"/>
      <c r="B984" s="76"/>
      <c r="C984" s="76"/>
      <c r="D984" s="76"/>
    </row>
    <row r="985" spans="1:4" ht="14.25" x14ac:dyDescent="0.2">
      <c r="A985" s="76"/>
      <c r="B985" s="76"/>
      <c r="C985" s="76"/>
      <c r="D985" s="76"/>
    </row>
    <row r="986" spans="1:4" ht="14.25" x14ac:dyDescent="0.2">
      <c r="A986" s="76"/>
      <c r="B986" s="76"/>
      <c r="C986" s="76"/>
      <c r="D986" s="76"/>
    </row>
    <row r="987" spans="1:4" ht="14.25" x14ac:dyDescent="0.2">
      <c r="A987" s="76"/>
      <c r="B987" s="76"/>
      <c r="C987" s="76"/>
      <c r="D987" s="76"/>
    </row>
    <row r="988" spans="1:4" ht="14.25" x14ac:dyDescent="0.2">
      <c r="A988" s="76"/>
      <c r="B988" s="76"/>
      <c r="C988" s="76"/>
      <c r="D988" s="76"/>
    </row>
    <row r="989" spans="1:4" ht="14.25" x14ac:dyDescent="0.2">
      <c r="A989" s="76"/>
      <c r="B989" s="76"/>
      <c r="C989" s="76"/>
      <c r="D989" s="76"/>
    </row>
    <row r="990" spans="1:4" ht="14.25" x14ac:dyDescent="0.2">
      <c r="A990" s="76"/>
      <c r="B990" s="76"/>
      <c r="C990" s="76"/>
      <c r="D990" s="76"/>
    </row>
    <row r="991" spans="1:4" ht="14.25" x14ac:dyDescent="0.2">
      <c r="A991" s="76"/>
      <c r="B991" s="76"/>
      <c r="C991" s="76"/>
      <c r="D991" s="76"/>
    </row>
    <row r="992" spans="1:4" ht="14.25" x14ac:dyDescent="0.2">
      <c r="A992" s="76"/>
      <c r="B992" s="76"/>
      <c r="C992" s="76"/>
      <c r="D992" s="76"/>
    </row>
    <row r="993" spans="1:4" ht="14.25" x14ac:dyDescent="0.2">
      <c r="A993" s="76"/>
      <c r="B993" s="76"/>
      <c r="C993" s="76"/>
      <c r="D993" s="76"/>
    </row>
    <row r="994" spans="1:4" ht="14.25" x14ac:dyDescent="0.2">
      <c r="A994" s="76"/>
      <c r="B994" s="76"/>
      <c r="C994" s="76"/>
      <c r="D994" s="76"/>
    </row>
    <row r="995" spans="1:4" ht="14.25" x14ac:dyDescent="0.2">
      <c r="A995" s="76"/>
      <c r="B995" s="76"/>
      <c r="C995" s="76"/>
      <c r="D995" s="76"/>
    </row>
    <row r="996" spans="1:4" ht="14.25" x14ac:dyDescent="0.2">
      <c r="A996" s="76"/>
      <c r="B996" s="76"/>
      <c r="C996" s="76"/>
      <c r="D996" s="76"/>
    </row>
    <row r="997" spans="1:4" ht="14.25" x14ac:dyDescent="0.2">
      <c r="A997" s="76"/>
      <c r="B997" s="76"/>
      <c r="C997" s="76"/>
      <c r="D997" s="76"/>
    </row>
    <row r="998" spans="1:4" ht="14.25" x14ac:dyDescent="0.2">
      <c r="A998" s="76"/>
      <c r="B998" s="76"/>
      <c r="C998" s="76"/>
      <c r="D998" s="76"/>
    </row>
    <row r="999" spans="1:4" ht="14.25" x14ac:dyDescent="0.2">
      <c r="A999" s="76"/>
      <c r="B999" s="76"/>
      <c r="C999" s="76"/>
      <c r="D999" s="76"/>
    </row>
    <row r="1000" spans="1:4" ht="14.25" x14ac:dyDescent="0.2">
      <c r="A1000" s="76"/>
      <c r="B1000" s="76"/>
      <c r="C1000" s="76"/>
      <c r="D1000" s="76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"/>
  <sheetViews>
    <sheetView tabSelected="1" zoomScale="140" zoomScaleNormal="140" workbookViewId="0">
      <pane ySplit="1" topLeftCell="A2" activePane="bottomLeft" state="frozen"/>
      <selection pane="bottomLeft" activeCell="F17" sqref="F17"/>
    </sheetView>
  </sheetViews>
  <sheetFormatPr defaultColWidth="12.85546875" defaultRowHeight="12.75" x14ac:dyDescent="0.2"/>
  <cols>
    <col min="1" max="1" width="16.42578125" customWidth="1"/>
    <col min="2" max="2" width="14" customWidth="1"/>
    <col min="4" max="4" width="8.7109375" customWidth="1"/>
    <col min="6" max="6" width="13.42578125" customWidth="1"/>
    <col min="7" max="7" width="14" customWidth="1"/>
    <col min="12" max="12" width="27" customWidth="1"/>
    <col min="13" max="13" width="18.28515625" customWidth="1"/>
    <col min="14" max="14" width="24.85546875" customWidth="1"/>
    <col min="15" max="15" width="26" customWidth="1"/>
    <col min="18" max="18" width="15.5703125" customWidth="1"/>
    <col min="19" max="19" width="15.28515625" customWidth="1"/>
    <col min="20" max="20" width="24.42578125" customWidth="1"/>
    <col min="21" max="21" width="25.5703125" customWidth="1"/>
    <col min="22" max="22" width="13.42578125" customWidth="1"/>
    <col min="28" max="29" width="15.140625" customWidth="1"/>
    <col min="30" max="30" width="15.5703125" customWidth="1"/>
    <col min="31" max="31" width="19.85546875" customWidth="1"/>
  </cols>
  <sheetData>
    <row r="1" spans="1:32" ht="45" x14ac:dyDescent="0.2">
      <c r="A1" s="1" t="s">
        <v>71</v>
      </c>
      <c r="B1" s="10" t="s">
        <v>1</v>
      </c>
      <c r="C1" s="10" t="s">
        <v>2</v>
      </c>
      <c r="D1" s="10" t="s">
        <v>3</v>
      </c>
      <c r="E1" s="10" t="s">
        <v>72</v>
      </c>
      <c r="F1" s="31" t="s">
        <v>73</v>
      </c>
      <c r="G1" s="10" t="s">
        <v>74</v>
      </c>
      <c r="H1" s="10" t="s">
        <v>8</v>
      </c>
      <c r="I1" s="10" t="s">
        <v>75</v>
      </c>
      <c r="J1" s="10" t="s">
        <v>76</v>
      </c>
      <c r="K1" s="10" t="s">
        <v>11</v>
      </c>
      <c r="L1" s="10" t="s">
        <v>12</v>
      </c>
      <c r="M1" s="10" t="s">
        <v>13</v>
      </c>
      <c r="N1" s="10" t="s">
        <v>77</v>
      </c>
      <c r="O1" s="10" t="s">
        <v>78</v>
      </c>
      <c r="P1" s="10" t="s">
        <v>79</v>
      </c>
      <c r="Q1" s="10" t="s">
        <v>18</v>
      </c>
      <c r="R1" s="1" t="s">
        <v>24</v>
      </c>
      <c r="S1" s="1" t="s">
        <v>25</v>
      </c>
      <c r="T1" s="8" t="s">
        <v>27</v>
      </c>
      <c r="U1" s="10" t="s">
        <v>28</v>
      </c>
      <c r="V1" s="10" t="s">
        <v>30</v>
      </c>
      <c r="W1" s="10" t="s">
        <v>80</v>
      </c>
      <c r="X1" s="10" t="s">
        <v>81</v>
      </c>
      <c r="Y1" s="10" t="s">
        <v>33</v>
      </c>
      <c r="Z1" s="7" t="s">
        <v>34</v>
      </c>
      <c r="AA1" s="7" t="s">
        <v>35</v>
      </c>
      <c r="AB1" s="7" t="s">
        <v>36</v>
      </c>
      <c r="AC1" s="7" t="s">
        <v>37</v>
      </c>
      <c r="AD1" s="7" t="s">
        <v>38</v>
      </c>
      <c r="AE1" s="7" t="s">
        <v>39</v>
      </c>
      <c r="AF1" s="7" t="s">
        <v>40</v>
      </c>
    </row>
    <row r="2" spans="1:32" ht="42.75" x14ac:dyDescent="0.2">
      <c r="A2" s="11" t="str">
        <f>CONCATENATE("2.",APOIO!$B$2,".","00001")</f>
        <v>2.3262.00001</v>
      </c>
      <c r="B2" s="11" t="s">
        <v>70</v>
      </c>
      <c r="C2" s="11">
        <v>22161</v>
      </c>
      <c r="D2" s="11" t="s">
        <v>43</v>
      </c>
      <c r="E2" s="12" t="s">
        <v>82</v>
      </c>
      <c r="F2" s="11" t="s">
        <v>83</v>
      </c>
      <c r="G2" s="11" t="s">
        <v>83</v>
      </c>
      <c r="H2" s="13">
        <v>41703</v>
      </c>
      <c r="I2" s="13">
        <v>45355</v>
      </c>
      <c r="J2" s="12" t="s">
        <v>84</v>
      </c>
      <c r="K2" s="11" t="s">
        <v>85</v>
      </c>
      <c r="L2" s="12" t="s">
        <v>86</v>
      </c>
      <c r="M2" s="12" t="s">
        <v>83</v>
      </c>
      <c r="N2" s="12" t="s">
        <v>87</v>
      </c>
      <c r="O2" s="14" t="s">
        <v>88</v>
      </c>
      <c r="P2" s="11" t="s">
        <v>50</v>
      </c>
      <c r="Q2" s="11" t="s">
        <v>51</v>
      </c>
      <c r="R2" s="12" t="str">
        <f>APOIO!$A$2</f>
        <v>EMATER</v>
      </c>
      <c r="S2" s="11">
        <v>1701</v>
      </c>
      <c r="T2" s="17" t="str">
        <f>VLOOKUP($U2,APOIO!$D:$E,2,FALSE())</f>
        <v>1.2.3.2.1.01.02.01.00</v>
      </c>
      <c r="U2" s="12" t="s">
        <v>89</v>
      </c>
      <c r="V2" s="11" t="s">
        <v>53</v>
      </c>
      <c r="W2" s="18"/>
      <c r="X2" s="18"/>
      <c r="Y2" s="18"/>
      <c r="Z2" s="18">
        <f>IF($V2 = "NÃO",
      ($W2+$X2+$Y2),
      ($W2+$X2)
)</f>
        <v>0</v>
      </c>
      <c r="AA2" s="18">
        <f>IF(OR($T2 = "1.2.3.2.1.99.05.01.00", $T2 = "1.2.3.2.1.99.99.03.00"),
      0,
      IF($V2 = "NÃO",
           ($X2+$Y2)*20/100,
           $X2*20/100
))</f>
        <v>0</v>
      </c>
      <c r="AB2" s="19">
        <f>IF(OR($T2 = "1.2.3.2.1.99.05.01.00", $T2 = "1.2.3.2.1.99.99.03.00", OR($AA2=0, ISBLANK($AA2))),
      0,
      IF(AND($V2 = "NÃO", DATEDIF($F2, "31/12/2022", "M") &lt; 12),
           12 - DATEDIF( "01/01/2022",$F2, "M"),
           IF(AND($V2 = "SIM", DATEDIF($F2, "31/12/2022", "M") &lt; 12),
                11 - DATEDIF( "01/01/2022",$F2, "M"),
                IF(AND($V2 = "NÃO", DATEDIF($F2, "31/12/2022", "M") &gt;= 12),
                     12,
                     IF(AND($V2 = "SIM", DATEDIF($F2, "31/12/2022", "M") &gt;= 12),
                          11,
                    )
                )
            )
      )
)</f>
        <v>0</v>
      </c>
      <c r="AC2" s="18">
        <f>IF(OR($T2 = "1.2.3.2.1.99.05.01.00", $T2 = "1.2.3.2.1.99.99.03.00"),
      0,
      IF($V2 = "NÃO",
           ((((($X2+$Y2)-$AA2)*4)/100)/12),
           (((($X2-$AA2)*4)/100)/12)
      )
)</f>
        <v>0</v>
      </c>
      <c r="AD2" s="18">
        <f>AB2*AC2</f>
        <v>0</v>
      </c>
      <c r="AE2" s="18" t="str">
        <f>VLOOKUP($U2,APOIO!$D:$F,3,FALSE())</f>
        <v>1.2.3.8.1.02.01.02.01</v>
      </c>
      <c r="AF2" s="18">
        <f>Z2-AD2</f>
        <v>0</v>
      </c>
    </row>
  </sheetData>
  <autoFilter ref="A1:AF2" xr:uid="{00000000-0009-0000-0000-000001000000}"/>
  <dataValidations count="1">
    <dataValidation type="decimal" operator="greaterThanOrEqual" allowBlank="1" showErrorMessage="1" sqref="W2:Y2" xr:uid="{00000000-0002-0000-0100-000006000000}">
      <formula1>0</formula1>
      <formula2>0</formula2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xr:uid="{00000000-0002-0000-0100-000000000000}">
          <x14:formula1>
            <xm:f>APOIO!$I$2:$I$252</xm:f>
          </x14:formula1>
          <x14:formula2>
            <xm:f>0</xm:f>
          </x14:formula2>
          <xm:sqref>B2</xm:sqref>
        </x14:dataValidation>
        <x14:dataValidation type="list" operator="equal" allowBlank="1" xr:uid="{00000000-0002-0000-0100-000001000000}">
          <x14:formula1>
            <xm:f>APOIO!$J$2:$J$6</xm:f>
          </x14:formula1>
          <x14:formula2>
            <xm:f>0</xm:f>
          </x14:formula2>
          <xm:sqref>D2</xm:sqref>
        </x14:dataValidation>
        <x14:dataValidation type="list" operator="equal" allowBlank="1" xr:uid="{00000000-0002-0000-0100-000002000000}">
          <x14:formula1>
            <xm:f>APOIO!$K$2:$K$3</xm:f>
          </x14:formula1>
          <x14:formula2>
            <xm:f>0</xm:f>
          </x14:formula2>
          <xm:sqref>P2</xm:sqref>
        </x14:dataValidation>
        <x14:dataValidation type="list" operator="equal" allowBlank="1" xr:uid="{00000000-0002-0000-0100-000003000000}">
          <x14:formula1>
            <xm:f>APOIO!$L$2:$L$7</xm:f>
          </x14:formula1>
          <x14:formula2>
            <xm:f>0</xm:f>
          </x14:formula2>
          <xm:sqref>Q2</xm:sqref>
        </x14:dataValidation>
        <x14:dataValidation type="list" operator="equal" allowBlank="1" showErrorMessage="1" xr:uid="{00000000-0002-0000-0100-000004000000}">
          <x14:formula1>
            <xm:f>APOIO!$D$2:$D$71</xm:f>
          </x14:formula1>
          <x14:formula2>
            <xm:f>0</xm:f>
          </x14:formula2>
          <xm:sqref>U2</xm:sqref>
        </x14:dataValidation>
        <x14:dataValidation type="list" operator="equal" allowBlank="1" showErrorMessage="1" xr:uid="{00000000-0002-0000-0100-000005000000}">
          <x14:formula1>
            <xm:f>APOIO!$G$2:$G$3</xm:f>
          </x14:formula1>
          <x14:formula2>
            <xm:f>0</xm:f>
          </x14:formula2>
          <xm:sqref>V2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2"/>
  <sheetViews>
    <sheetView zoomScale="140" zoomScaleNormal="140" workbookViewId="0">
      <pane ySplit="1" topLeftCell="A8" activePane="bottomLeft" state="frozen"/>
      <selection pane="bottomLeft" activeCell="I8" sqref="I8"/>
    </sheetView>
  </sheetViews>
  <sheetFormatPr defaultColWidth="35.140625" defaultRowHeight="12.75" x14ac:dyDescent="0.2"/>
  <cols>
    <col min="18" max="18" width="17.85546875" customWidth="1"/>
    <col min="19" max="19" width="15.28515625" customWidth="1"/>
    <col min="20" max="20" width="19.7109375" customWidth="1"/>
  </cols>
  <sheetData>
    <row r="1" spans="1:27" ht="30" x14ac:dyDescent="0.2">
      <c r="A1" s="1" t="s">
        <v>71</v>
      </c>
      <c r="B1" s="10" t="s">
        <v>1</v>
      </c>
      <c r="C1" s="10" t="s">
        <v>2</v>
      </c>
      <c r="D1" s="10" t="s">
        <v>3</v>
      </c>
      <c r="E1" s="10" t="s">
        <v>72</v>
      </c>
      <c r="F1" s="32" t="s">
        <v>6</v>
      </c>
      <c r="G1" s="33" t="s">
        <v>7</v>
      </c>
      <c r="H1" s="10" t="s">
        <v>77</v>
      </c>
      <c r="I1" s="10" t="s">
        <v>78</v>
      </c>
      <c r="J1" s="10" t="s">
        <v>79</v>
      </c>
      <c r="K1" s="10" t="s">
        <v>18</v>
      </c>
      <c r="L1" s="1" t="s">
        <v>24</v>
      </c>
      <c r="M1" s="1" t="s">
        <v>25</v>
      </c>
      <c r="N1" s="10" t="s">
        <v>90</v>
      </c>
      <c r="O1" s="8" t="s">
        <v>27</v>
      </c>
      <c r="P1" s="10" t="s">
        <v>28</v>
      </c>
      <c r="Q1" s="10" t="s">
        <v>30</v>
      </c>
      <c r="R1" s="10" t="s">
        <v>31</v>
      </c>
      <c r="S1" s="10" t="s">
        <v>32</v>
      </c>
      <c r="T1" s="10" t="s">
        <v>33</v>
      </c>
      <c r="U1" s="7" t="s">
        <v>34</v>
      </c>
      <c r="V1" s="7" t="s">
        <v>35</v>
      </c>
      <c r="W1" s="7" t="s">
        <v>36</v>
      </c>
      <c r="X1" s="7" t="s">
        <v>37</v>
      </c>
      <c r="Y1" s="7" t="s">
        <v>38</v>
      </c>
      <c r="Z1" s="7" t="s">
        <v>39</v>
      </c>
      <c r="AA1" s="7" t="s">
        <v>40</v>
      </c>
    </row>
    <row r="2" spans="1:27" ht="28.5" x14ac:dyDescent="0.2">
      <c r="A2" s="11" t="str">
        <f ca="1">IFERROR(__xludf.dummyfunction("CONCATENATE(""3."",APOIO!$B$2,""."",TEXT(INDEX(SPLIT(INDEX(A:A,ROW()-1,1),"".""),1,3)+1, ""00000""))"),"3.3262.00002")</f>
        <v>3.3262.00002</v>
      </c>
      <c r="B2" s="11" t="s">
        <v>91</v>
      </c>
      <c r="C2" s="11">
        <v>3973</v>
      </c>
      <c r="D2" s="11" t="s">
        <v>43</v>
      </c>
      <c r="E2" s="12" t="s">
        <v>92</v>
      </c>
      <c r="F2" s="13">
        <v>43228</v>
      </c>
      <c r="G2" s="34">
        <v>79144.350000000006</v>
      </c>
      <c r="H2" s="12" t="s">
        <v>87</v>
      </c>
      <c r="I2" s="14" t="s">
        <v>93</v>
      </c>
      <c r="J2" s="11" t="s">
        <v>50</v>
      </c>
      <c r="K2" s="11" t="s">
        <v>51</v>
      </c>
      <c r="L2" s="12" t="str">
        <f>APOIO!$A$2</f>
        <v>EMATER</v>
      </c>
      <c r="M2" s="11">
        <f>APOIO!$B$2</f>
        <v>3262</v>
      </c>
      <c r="N2" s="18">
        <v>79144.350000000006</v>
      </c>
      <c r="O2" s="17" t="str">
        <f>VLOOKUP($P2,APOIO!$D:$E,2,FALSE())</f>
        <v>1.2.3.2.1.01.02.01.00</v>
      </c>
      <c r="P2" s="12" t="s">
        <v>89</v>
      </c>
      <c r="Q2" s="11" t="s">
        <v>53</v>
      </c>
      <c r="R2" s="18"/>
      <c r="S2" s="18"/>
      <c r="T2" s="18"/>
      <c r="U2" s="18">
        <f t="shared" ref="U2:U33" si="0">IF(AND($Q2 = "NÃO", OR($N2=0, ISBLANK($N2))),
      $R2+$S2+$T2,
      IF(AND($Q2 = "NÃO", OR($N2 &gt;0, NOT(ISBLANK($N2)))),
           $N2+$T2,
           IF($Q2 = "SIM",
                $R2+$S2
           )
      )
)</f>
        <v>79144.350000000006</v>
      </c>
      <c r="V2" s="18">
        <f t="shared" ref="V2:V33" si="1">IF(OR($O2 = "1.2.3.2.1.99.05.01.00", $O2 = "1.2.3.2.1.99.99.03.00"),
      0,
      IF(AND($Q2 = "NÃO", OR($N2=0, ISBLANK($N2))),
           ($S2+$T2)*20/100,
           IF(AND($Q2 = "NÃO", OR($N2 &gt;0, NOT(ISBLANK($N2)))),
              ($N2+$T2)*20/100,
              IF($Q2="SIM",
                   $S2*20/100
              )
           )
      )
)</f>
        <v>15828.87</v>
      </c>
      <c r="W2" s="19">
        <f t="shared" ref="W2:W33" si="2">IF(OR($O2 = "1.2.3.2.1.99.05.01.00", $O2 = "1.2.3.2.1.99.99.03.00", OR($V2=0, ISBLANK($V2))),
      0,
      IF(AND($Q2 = "NÃO", YEAR($F2) &lt;2022),
          12,
          IF(AND($Q2 = "NÃO", YEAR($F2) &gt;=2022),
               12 - (MONTH($F2)-1),
               IF(AND($Q2 = "SIM", YEAR($F2) &lt;2022),
                  11,
                  IF(AND($Q2 = "SIM", YEAR($F2) &gt;=2022),
                       12 - MONTH($F2)
                  )
               )
          )
      )
)</f>
        <v>12</v>
      </c>
      <c r="X2" s="18">
        <f t="shared" ref="X2:X33" si="3">IF(OR($O2 = "1.2.3.2.1.99.05.01.00", $O2 = "1.2.3.2.1.99.99.03.00"),
      0,
      IF(AND($Q2 = "NÃO", OR($N2=0, ISBLANK($N2))),
           (((((($S2+$T2)-$V2))*4)/100)/12),
           IF(AND($Q2 = "NÃO", OR($N2 &gt;0, NOT(ISBLANK($N2)))),
                ((((($N2+$T2)-$V2)*4)/100)/12),
                IF($Q2="SIM",
                     (((($S2-$V2)*4)/100)/12)
                )
           )
      )
)</f>
        <v>211.05160000000001</v>
      </c>
      <c r="Y2" s="18">
        <f t="shared" ref="Y2:Y33" si="4">W2*X2</f>
        <v>2532.6192000000001</v>
      </c>
      <c r="Z2" s="18" t="str">
        <f>VLOOKUP($P2,APOIO!$D:$F,3,FALSE())</f>
        <v>1.2.3.8.1.02.01.02.01</v>
      </c>
      <c r="AA2" s="18">
        <f t="shared" ref="AA2:AA33" si="5">U2-Y2</f>
        <v>76611.730800000005</v>
      </c>
    </row>
    <row r="3" spans="1:27" ht="28.5" x14ac:dyDescent="0.2">
      <c r="A3" s="11" t="str">
        <f ca="1">IFERROR(__xludf.dummyfunction("CONCATENATE(""3."",APOIO!$B$2,""."",TEXT(INDEX(SPLIT(INDEX(A:A,ROW()-1,1),"".""),1,3)+1, ""00000""))"),"3.3262.00003")</f>
        <v>3.3262.00003</v>
      </c>
      <c r="B3" s="11" t="s">
        <v>94</v>
      </c>
      <c r="C3" s="11">
        <v>2141</v>
      </c>
      <c r="D3" s="11" t="s">
        <v>43</v>
      </c>
      <c r="E3" s="12" t="s">
        <v>95</v>
      </c>
      <c r="F3" s="13">
        <v>43271</v>
      </c>
      <c r="G3" s="34">
        <v>158133.75</v>
      </c>
      <c r="H3" s="12" t="s">
        <v>87</v>
      </c>
      <c r="I3" s="14" t="s">
        <v>96</v>
      </c>
      <c r="J3" s="11" t="s">
        <v>50</v>
      </c>
      <c r="K3" s="11" t="s">
        <v>97</v>
      </c>
      <c r="L3" s="12" t="str">
        <f>APOIO!$A$2</f>
        <v>EMATER</v>
      </c>
      <c r="M3" s="11">
        <f>APOIO!$B$2</f>
        <v>3262</v>
      </c>
      <c r="N3" s="18">
        <v>158133.75</v>
      </c>
      <c r="O3" s="17" t="str">
        <f>VLOOKUP($P3,APOIO!$D:$E,2,FALSE())</f>
        <v>1.2.3.2.1.01.02.01.00</v>
      </c>
      <c r="P3" s="12" t="s">
        <v>89</v>
      </c>
      <c r="Q3" s="11" t="s">
        <v>53</v>
      </c>
      <c r="R3" s="18"/>
      <c r="S3" s="18"/>
      <c r="T3" s="18"/>
      <c r="U3" s="18">
        <f t="shared" si="0"/>
        <v>158133.75</v>
      </c>
      <c r="V3" s="18">
        <f t="shared" si="1"/>
        <v>31626.75</v>
      </c>
      <c r="W3" s="19">
        <f t="shared" si="2"/>
        <v>12</v>
      </c>
      <c r="X3" s="18">
        <f t="shared" si="3"/>
        <v>421.69</v>
      </c>
      <c r="Y3" s="18">
        <f t="shared" si="4"/>
        <v>5060.28</v>
      </c>
      <c r="Z3" s="18" t="str">
        <f>VLOOKUP($P3,APOIO!$D:$F,3,FALSE())</f>
        <v>1.2.3.8.1.02.01.02.01</v>
      </c>
      <c r="AA3" s="18">
        <f t="shared" si="5"/>
        <v>153073.47</v>
      </c>
    </row>
    <row r="4" spans="1:27" ht="28.5" x14ac:dyDescent="0.2">
      <c r="A4" s="11" t="str">
        <f ca="1">IFERROR(__xludf.dummyfunction("CONCATENATE(""3."",APOIO!$B$2,""."",TEXT(INDEX(SPLIT(INDEX(A:A,ROW()-1,1),"".""),1,3)+1, ""00000""))"),"3.3262.00004")</f>
        <v>3.3262.00004</v>
      </c>
      <c r="B4" s="11" t="s">
        <v>98</v>
      </c>
      <c r="C4" s="11">
        <v>2443</v>
      </c>
      <c r="D4" s="11" t="s">
        <v>43</v>
      </c>
      <c r="E4" s="12" t="s">
        <v>99</v>
      </c>
      <c r="F4" s="13">
        <v>43264</v>
      </c>
      <c r="G4" s="34">
        <v>122080</v>
      </c>
      <c r="H4" s="12" t="s">
        <v>87</v>
      </c>
      <c r="I4" s="14" t="s">
        <v>100</v>
      </c>
      <c r="J4" s="11" t="s">
        <v>50</v>
      </c>
      <c r="K4" s="11" t="s">
        <v>97</v>
      </c>
      <c r="L4" s="12" t="str">
        <f>APOIO!$A$2</f>
        <v>EMATER</v>
      </c>
      <c r="M4" s="11">
        <f>APOIO!$B$2</f>
        <v>3262</v>
      </c>
      <c r="N4" s="18">
        <v>122080</v>
      </c>
      <c r="O4" s="17" t="str">
        <f>VLOOKUP($P4,APOIO!$D:$E,2,FALSE())</f>
        <v>1.2.3.2.1.01.02.01.00</v>
      </c>
      <c r="P4" s="12" t="s">
        <v>89</v>
      </c>
      <c r="Q4" s="11" t="s">
        <v>53</v>
      </c>
      <c r="R4" s="18"/>
      <c r="S4" s="18"/>
      <c r="T4" s="18"/>
      <c r="U4" s="18">
        <f t="shared" si="0"/>
        <v>122080</v>
      </c>
      <c r="V4" s="18">
        <f t="shared" si="1"/>
        <v>24416</v>
      </c>
      <c r="W4" s="19">
        <f t="shared" si="2"/>
        <v>12</v>
      </c>
      <c r="X4" s="18">
        <f t="shared" si="3"/>
        <v>325.54666666666668</v>
      </c>
      <c r="Y4" s="18">
        <f t="shared" si="4"/>
        <v>3906.5600000000004</v>
      </c>
      <c r="Z4" s="18" t="str">
        <f>VLOOKUP($P4,APOIO!$D:$F,3,FALSE())</f>
        <v>1.2.3.8.1.02.01.02.01</v>
      </c>
      <c r="AA4" s="18">
        <f t="shared" si="5"/>
        <v>118173.44</v>
      </c>
    </row>
    <row r="5" spans="1:27" ht="28.5" x14ac:dyDescent="0.2">
      <c r="A5" s="11" t="str">
        <f ca="1">IFERROR(__xludf.dummyfunction("CONCATENATE(""3."",APOIO!$B$2,""."",TEXT(INDEX(SPLIT(INDEX(A:A,ROW()-1,1),"".""),1,3)+1, ""00000""))"),"3.3262.00005")</f>
        <v>3.3262.00005</v>
      </c>
      <c r="B5" s="11" t="s">
        <v>101</v>
      </c>
      <c r="C5" s="11">
        <v>1668</v>
      </c>
      <c r="D5" s="11" t="s">
        <v>43</v>
      </c>
      <c r="E5" s="12" t="s">
        <v>102</v>
      </c>
      <c r="F5" s="13">
        <v>43654</v>
      </c>
      <c r="G5" s="34">
        <v>250000</v>
      </c>
      <c r="H5" s="12" t="s">
        <v>87</v>
      </c>
      <c r="I5" s="14" t="s">
        <v>103</v>
      </c>
      <c r="J5" s="11" t="s">
        <v>50</v>
      </c>
      <c r="K5" s="11" t="s">
        <v>51</v>
      </c>
      <c r="L5" s="12" t="str">
        <f>APOIO!$A$2</f>
        <v>EMATER</v>
      </c>
      <c r="M5" s="11">
        <f>APOIO!$B$2</f>
        <v>3262</v>
      </c>
      <c r="N5" s="18">
        <v>250000</v>
      </c>
      <c r="O5" s="17" t="str">
        <f>VLOOKUP($P5,APOIO!$D:$E,2,FALSE())</f>
        <v>1.2.3.2.1.01.02.01.00</v>
      </c>
      <c r="P5" s="12" t="s">
        <v>89</v>
      </c>
      <c r="Q5" s="11" t="s">
        <v>53</v>
      </c>
      <c r="R5" s="18"/>
      <c r="S5" s="18"/>
      <c r="T5" s="18"/>
      <c r="U5" s="18">
        <f t="shared" si="0"/>
        <v>250000</v>
      </c>
      <c r="V5" s="18">
        <f t="shared" si="1"/>
        <v>50000</v>
      </c>
      <c r="W5" s="19">
        <f t="shared" si="2"/>
        <v>12</v>
      </c>
      <c r="X5" s="18">
        <f t="shared" si="3"/>
        <v>666.66666666666663</v>
      </c>
      <c r="Y5" s="18">
        <f t="shared" si="4"/>
        <v>8000</v>
      </c>
      <c r="Z5" s="18" t="str">
        <f>VLOOKUP($P5,APOIO!$D:$F,3,FALSE())</f>
        <v>1.2.3.8.1.02.01.02.01</v>
      </c>
      <c r="AA5" s="18">
        <f t="shared" si="5"/>
        <v>242000</v>
      </c>
    </row>
    <row r="6" spans="1:27" ht="42.75" x14ac:dyDescent="0.2">
      <c r="A6" s="11" t="str">
        <f ca="1">IFERROR(__xludf.dummyfunction("CONCATENATE(""3."",APOIO!$B$2,""."",TEXT(INDEX(SPLIT(INDEX(A:A,ROW()-1,1),"".""),1,3)+1, ""00000""))"),"3.3262.00006")</f>
        <v>3.3262.00006</v>
      </c>
      <c r="B6" s="11" t="s">
        <v>104</v>
      </c>
      <c r="C6" s="11">
        <v>797</v>
      </c>
      <c r="D6" s="11" t="s">
        <v>43</v>
      </c>
      <c r="E6" s="12" t="s">
        <v>105</v>
      </c>
      <c r="F6" s="13">
        <v>43290</v>
      </c>
      <c r="G6" s="34">
        <v>22367.360000000001</v>
      </c>
      <c r="H6" s="12" t="s">
        <v>87</v>
      </c>
      <c r="I6" s="14" t="s">
        <v>106</v>
      </c>
      <c r="J6" s="11" t="s">
        <v>50</v>
      </c>
      <c r="K6" s="11" t="s">
        <v>97</v>
      </c>
      <c r="L6" s="12" t="str">
        <f>APOIO!$A$2</f>
        <v>EMATER</v>
      </c>
      <c r="M6" s="11">
        <f>APOIO!$B$2</f>
        <v>3262</v>
      </c>
      <c r="N6" s="18">
        <v>22367.360000000001</v>
      </c>
      <c r="O6" s="17" t="str">
        <f>VLOOKUP($P6,APOIO!$D:$E,2,FALSE())</f>
        <v>1.2.3.2.1.01.02.01.00</v>
      </c>
      <c r="P6" s="12" t="s">
        <v>89</v>
      </c>
      <c r="Q6" s="11" t="s">
        <v>53</v>
      </c>
      <c r="R6" s="18"/>
      <c r="S6" s="18"/>
      <c r="T6" s="18"/>
      <c r="U6" s="18">
        <f t="shared" si="0"/>
        <v>22367.360000000001</v>
      </c>
      <c r="V6" s="18">
        <f t="shared" si="1"/>
        <v>4473.4719999999998</v>
      </c>
      <c r="W6" s="19">
        <f t="shared" si="2"/>
        <v>12</v>
      </c>
      <c r="X6" s="18">
        <f t="shared" si="3"/>
        <v>59.646293333333325</v>
      </c>
      <c r="Y6" s="18">
        <f t="shared" si="4"/>
        <v>715.75551999999993</v>
      </c>
      <c r="Z6" s="18" t="str">
        <f>VLOOKUP($P6,APOIO!$D:$F,3,FALSE())</f>
        <v>1.2.3.8.1.02.01.02.01</v>
      </c>
      <c r="AA6" s="18">
        <f t="shared" si="5"/>
        <v>21651.604480000002</v>
      </c>
    </row>
    <row r="7" spans="1:27" ht="28.5" x14ac:dyDescent="0.2">
      <c r="A7" s="11" t="str">
        <f ca="1">IFERROR(__xludf.dummyfunction("CONCATENATE(""3."",APOIO!$B$2,""."",TEXT(INDEX(SPLIT(INDEX(A:A,ROW()-1,1),"".""),1,3)+1, ""00000""))"),"3.3262.00008")</f>
        <v>3.3262.00008</v>
      </c>
      <c r="B7" s="11" t="s">
        <v>107</v>
      </c>
      <c r="C7" s="11">
        <v>765</v>
      </c>
      <c r="D7" s="11" t="s">
        <v>43</v>
      </c>
      <c r="E7" s="12" t="s">
        <v>108</v>
      </c>
      <c r="F7" s="13">
        <v>43315</v>
      </c>
      <c r="G7" s="34">
        <v>165000</v>
      </c>
      <c r="H7" s="12" t="s">
        <v>87</v>
      </c>
      <c r="I7" s="14" t="s">
        <v>109</v>
      </c>
      <c r="J7" s="11" t="s">
        <v>50</v>
      </c>
      <c r="K7" s="11" t="s">
        <v>51</v>
      </c>
      <c r="L7" s="12" t="str">
        <f>APOIO!$A$2</f>
        <v>EMATER</v>
      </c>
      <c r="M7" s="11">
        <f>APOIO!$B$2</f>
        <v>3262</v>
      </c>
      <c r="N7" s="18">
        <v>165000</v>
      </c>
      <c r="O7" s="17" t="str">
        <f>VLOOKUP($P7,APOIO!$D:$E,2,FALSE())</f>
        <v>1.2.3.2.1.01.02.01.00</v>
      </c>
      <c r="P7" s="12" t="s">
        <v>89</v>
      </c>
      <c r="Q7" s="11" t="s">
        <v>53</v>
      </c>
      <c r="R7" s="18"/>
      <c r="S7" s="18"/>
      <c r="T7" s="18"/>
      <c r="U7" s="18">
        <f t="shared" si="0"/>
        <v>165000</v>
      </c>
      <c r="V7" s="18">
        <f t="shared" si="1"/>
        <v>33000</v>
      </c>
      <c r="W7" s="19">
        <f t="shared" si="2"/>
        <v>12</v>
      </c>
      <c r="X7" s="18">
        <f t="shared" si="3"/>
        <v>440</v>
      </c>
      <c r="Y7" s="18">
        <f t="shared" si="4"/>
        <v>5280</v>
      </c>
      <c r="Z7" s="18" t="str">
        <f>VLOOKUP($P7,APOIO!$D:$F,3,FALSE())</f>
        <v>1.2.3.8.1.02.01.02.01</v>
      </c>
      <c r="AA7" s="18">
        <f t="shared" si="5"/>
        <v>159720</v>
      </c>
    </row>
    <row r="8" spans="1:27" ht="28.5" x14ac:dyDescent="0.2">
      <c r="A8" s="11" t="str">
        <f ca="1">IFERROR(__xludf.dummyfunction("CONCATENATE(""3."",APOIO!$B$2,""."",TEXT(INDEX(SPLIT(INDEX(A:A,ROW()-1,1),"".""),1,3)+1, ""00000""))"),"3.3262.00009")</f>
        <v>3.3262.00009</v>
      </c>
      <c r="B8" s="11" t="s">
        <v>110</v>
      </c>
      <c r="C8" s="11">
        <v>1808</v>
      </c>
      <c r="D8" s="11" t="s">
        <v>43</v>
      </c>
      <c r="E8" s="12" t="s">
        <v>111</v>
      </c>
      <c r="F8" s="13">
        <v>43337</v>
      </c>
      <c r="G8" s="34">
        <v>150000</v>
      </c>
      <c r="H8" s="12" t="s">
        <v>87</v>
      </c>
      <c r="I8" s="14" t="s">
        <v>112</v>
      </c>
      <c r="J8" s="11" t="s">
        <v>50</v>
      </c>
      <c r="K8" s="11" t="s">
        <v>97</v>
      </c>
      <c r="L8" s="12" t="str">
        <f>APOIO!$A$2</f>
        <v>EMATER</v>
      </c>
      <c r="M8" s="11">
        <f>APOIO!$B$2</f>
        <v>3262</v>
      </c>
      <c r="N8" s="18">
        <v>150000</v>
      </c>
      <c r="O8" s="17" t="str">
        <f>VLOOKUP($P8,APOIO!$D:$E,2,FALSE())</f>
        <v>1.2.3.2.1.01.02.01.00</v>
      </c>
      <c r="P8" s="12" t="s">
        <v>89</v>
      </c>
      <c r="Q8" s="11" t="s">
        <v>53</v>
      </c>
      <c r="R8" s="18"/>
      <c r="S8" s="18"/>
      <c r="T8" s="18"/>
      <c r="U8" s="18">
        <f t="shared" si="0"/>
        <v>150000</v>
      </c>
      <c r="V8" s="18">
        <f t="shared" si="1"/>
        <v>30000</v>
      </c>
      <c r="W8" s="19">
        <f t="shared" si="2"/>
        <v>12</v>
      </c>
      <c r="X8" s="18">
        <f t="shared" si="3"/>
        <v>400</v>
      </c>
      <c r="Y8" s="18">
        <f t="shared" si="4"/>
        <v>4800</v>
      </c>
      <c r="Z8" s="18" t="str">
        <f>VLOOKUP($P8,APOIO!$D:$F,3,FALSE())</f>
        <v>1.2.3.8.1.02.01.02.01</v>
      </c>
      <c r="AA8" s="18">
        <f t="shared" si="5"/>
        <v>145200</v>
      </c>
    </row>
    <row r="9" spans="1:27" ht="28.5" x14ac:dyDescent="0.2">
      <c r="A9" s="11" t="str">
        <f ca="1">IFERROR(__xludf.dummyfunction("CONCATENATE(""3."",APOIO!$B$2,""."",TEXT(INDEX(SPLIT(INDEX(A:A,ROW()-1,1),"".""),1,3)+1, ""00000""))"),"3.3262.00010")</f>
        <v>3.3262.00010</v>
      </c>
      <c r="B9" s="11" t="s">
        <v>113</v>
      </c>
      <c r="C9" s="11">
        <v>2375</v>
      </c>
      <c r="D9" s="11" t="s">
        <v>43</v>
      </c>
      <c r="E9" s="12" t="s">
        <v>114</v>
      </c>
      <c r="F9" s="13">
        <v>43262</v>
      </c>
      <c r="G9" s="34">
        <v>121669.95</v>
      </c>
      <c r="H9" s="12" t="s">
        <v>87</v>
      </c>
      <c r="I9" s="14" t="s">
        <v>115</v>
      </c>
      <c r="J9" s="11" t="s">
        <v>50</v>
      </c>
      <c r="K9" s="11" t="s">
        <v>97</v>
      </c>
      <c r="L9" s="12" t="str">
        <f>APOIO!$A$2</f>
        <v>EMATER</v>
      </c>
      <c r="M9" s="11">
        <f>APOIO!$B$2</f>
        <v>3262</v>
      </c>
      <c r="N9" s="18">
        <v>121669.95</v>
      </c>
      <c r="O9" s="17" t="str">
        <f>VLOOKUP($P9,APOIO!$D:$E,2,FALSE())</f>
        <v>1.2.3.2.1.01.02.01.00</v>
      </c>
      <c r="P9" s="12" t="s">
        <v>89</v>
      </c>
      <c r="Q9" s="11" t="s">
        <v>53</v>
      </c>
      <c r="R9" s="18"/>
      <c r="S9" s="18"/>
      <c r="T9" s="18"/>
      <c r="U9" s="18">
        <f t="shared" si="0"/>
        <v>121669.95</v>
      </c>
      <c r="V9" s="18">
        <f t="shared" si="1"/>
        <v>24333.99</v>
      </c>
      <c r="W9" s="19">
        <f t="shared" si="2"/>
        <v>12</v>
      </c>
      <c r="X9" s="18">
        <f t="shared" si="3"/>
        <v>324.45319999999998</v>
      </c>
      <c r="Y9" s="18">
        <f t="shared" si="4"/>
        <v>3893.4384</v>
      </c>
      <c r="Z9" s="18" t="str">
        <f>VLOOKUP($P9,APOIO!$D:$F,3,FALSE())</f>
        <v>1.2.3.8.1.02.01.02.01</v>
      </c>
      <c r="AA9" s="18">
        <f t="shared" si="5"/>
        <v>117776.5116</v>
      </c>
    </row>
    <row r="10" spans="1:27" ht="28.5" x14ac:dyDescent="0.2">
      <c r="A10" s="11" t="str">
        <f ca="1">IFERROR(__xludf.dummyfunction("CONCATENATE(""3."",APOIO!$B$2,""."",TEXT(INDEX(SPLIT(INDEX(A:A,ROW()-1,1),"".""),1,3)+1, ""00000""))"),"3.3262.00011")</f>
        <v>3.3262.00011</v>
      </c>
      <c r="B10" s="11" t="s">
        <v>116</v>
      </c>
      <c r="C10" s="11">
        <v>6</v>
      </c>
      <c r="D10" s="11" t="s">
        <v>43</v>
      </c>
      <c r="E10" s="12" t="s">
        <v>117</v>
      </c>
      <c r="F10" s="13">
        <v>43340</v>
      </c>
      <c r="G10" s="34">
        <v>62146.42</v>
      </c>
      <c r="H10" s="12" t="s">
        <v>87</v>
      </c>
      <c r="I10" s="14" t="s">
        <v>118</v>
      </c>
      <c r="J10" s="11" t="s">
        <v>50</v>
      </c>
      <c r="K10" s="11" t="s">
        <v>97</v>
      </c>
      <c r="L10" s="12" t="str">
        <f>APOIO!$A$2</f>
        <v>EMATER</v>
      </c>
      <c r="M10" s="11">
        <f>APOIO!$B$2</f>
        <v>3262</v>
      </c>
      <c r="N10" s="18">
        <v>62146.42</v>
      </c>
      <c r="O10" s="17" t="str">
        <f>VLOOKUP($P10,APOIO!$D:$E,2,FALSE())</f>
        <v>1.2.3.2.1.01.02.01.00</v>
      </c>
      <c r="P10" s="12" t="s">
        <v>89</v>
      </c>
      <c r="Q10" s="11" t="s">
        <v>53</v>
      </c>
      <c r="R10" s="18"/>
      <c r="S10" s="18"/>
      <c r="T10" s="18"/>
      <c r="U10" s="18">
        <f t="shared" si="0"/>
        <v>62146.42</v>
      </c>
      <c r="V10" s="18">
        <f t="shared" si="1"/>
        <v>12429.284</v>
      </c>
      <c r="W10" s="19">
        <f t="shared" si="2"/>
        <v>12</v>
      </c>
      <c r="X10" s="18">
        <f t="shared" si="3"/>
        <v>165.72378666666665</v>
      </c>
      <c r="Y10" s="18">
        <f t="shared" si="4"/>
        <v>1988.6854399999997</v>
      </c>
      <c r="Z10" s="18" t="str">
        <f>VLOOKUP($P10,APOIO!$D:$F,3,FALSE())</f>
        <v>1.2.3.8.1.02.01.02.01</v>
      </c>
      <c r="AA10" s="18">
        <f t="shared" si="5"/>
        <v>60157.734559999997</v>
      </c>
    </row>
    <row r="11" spans="1:27" ht="28.5" x14ac:dyDescent="0.2">
      <c r="A11" s="11" t="str">
        <f ca="1">IFERROR(__xludf.dummyfunction("CONCATENATE(""3."",APOIO!$B$2,""."",TEXT(INDEX(SPLIT(INDEX(A:A,ROW()-1,1),"".""),1,3)+1, ""00000""))"),"3.3262.00012")</f>
        <v>3.3262.00012</v>
      </c>
      <c r="B11" s="11" t="s">
        <v>119</v>
      </c>
      <c r="C11" s="11">
        <v>1776</v>
      </c>
      <c r="D11" s="11" t="s">
        <v>43</v>
      </c>
      <c r="E11" s="12" t="s">
        <v>120</v>
      </c>
      <c r="F11" s="13">
        <v>43332</v>
      </c>
      <c r="G11" s="34">
        <v>88010</v>
      </c>
      <c r="H11" s="12" t="s">
        <v>87</v>
      </c>
      <c r="I11" s="14" t="s">
        <v>121</v>
      </c>
      <c r="J11" s="11" t="s">
        <v>50</v>
      </c>
      <c r="K11" s="11" t="s">
        <v>97</v>
      </c>
      <c r="L11" s="12" t="str">
        <f>APOIO!$A$2</f>
        <v>EMATER</v>
      </c>
      <c r="M11" s="11">
        <f>APOIO!$B$2</f>
        <v>3262</v>
      </c>
      <c r="N11" s="18">
        <v>88010</v>
      </c>
      <c r="O11" s="17" t="str">
        <f>VLOOKUP($P11,APOIO!$D:$E,2,FALSE())</f>
        <v>1.2.3.2.1.01.02.01.00</v>
      </c>
      <c r="P11" s="12" t="s">
        <v>89</v>
      </c>
      <c r="Q11" s="11" t="s">
        <v>53</v>
      </c>
      <c r="R11" s="18"/>
      <c r="S11" s="18"/>
      <c r="T11" s="18"/>
      <c r="U11" s="18">
        <f t="shared" si="0"/>
        <v>88010</v>
      </c>
      <c r="V11" s="18">
        <f t="shared" si="1"/>
        <v>17602</v>
      </c>
      <c r="W11" s="19">
        <f t="shared" si="2"/>
        <v>12</v>
      </c>
      <c r="X11" s="18">
        <f t="shared" si="3"/>
        <v>234.69333333333336</v>
      </c>
      <c r="Y11" s="18">
        <f t="shared" si="4"/>
        <v>2816.32</v>
      </c>
      <c r="Z11" s="18" t="str">
        <f>VLOOKUP($P11,APOIO!$D:$F,3,FALSE())</f>
        <v>1.2.3.8.1.02.01.02.01</v>
      </c>
      <c r="AA11" s="18">
        <f t="shared" si="5"/>
        <v>85193.68</v>
      </c>
    </row>
    <row r="12" spans="1:27" ht="42.75" x14ac:dyDescent="0.2">
      <c r="A12" s="11" t="str">
        <f ca="1">IFERROR(__xludf.dummyfunction("CONCATENATE(""3."",APOIO!$B$2,""."",TEXT(INDEX(SPLIT(INDEX(A:A,ROW()-1,1),"".""),1,3)+1, ""00000""))"),"3.3262.00013")</f>
        <v>3.3262.00013</v>
      </c>
      <c r="B12" s="11" t="s">
        <v>122</v>
      </c>
      <c r="C12" s="11">
        <v>1689</v>
      </c>
      <c r="D12" s="11" t="s">
        <v>43</v>
      </c>
      <c r="E12" s="12" t="s">
        <v>123</v>
      </c>
      <c r="F12" s="13">
        <v>43220</v>
      </c>
      <c r="G12" s="34">
        <v>29785.71</v>
      </c>
      <c r="H12" s="12" t="s">
        <v>87</v>
      </c>
      <c r="I12" s="14" t="s">
        <v>124</v>
      </c>
      <c r="J12" s="11" t="s">
        <v>50</v>
      </c>
      <c r="K12" s="11" t="s">
        <v>97</v>
      </c>
      <c r="L12" s="12" t="str">
        <f>APOIO!$A$2</f>
        <v>EMATER</v>
      </c>
      <c r="M12" s="11">
        <f>APOIO!$B$2</f>
        <v>3262</v>
      </c>
      <c r="N12" s="18">
        <v>29785.71</v>
      </c>
      <c r="O12" s="17" t="str">
        <f>VLOOKUP($P12,APOIO!$D:$E,2,FALSE())</f>
        <v>1.2.3.2.1.01.02.01.00</v>
      </c>
      <c r="P12" s="12" t="s">
        <v>89</v>
      </c>
      <c r="Q12" s="11" t="s">
        <v>53</v>
      </c>
      <c r="R12" s="18"/>
      <c r="S12" s="18"/>
      <c r="T12" s="18"/>
      <c r="U12" s="18">
        <f t="shared" si="0"/>
        <v>29785.71</v>
      </c>
      <c r="V12" s="18">
        <f t="shared" si="1"/>
        <v>5957.1419999999998</v>
      </c>
      <c r="W12" s="19">
        <f t="shared" si="2"/>
        <v>12</v>
      </c>
      <c r="X12" s="18">
        <f t="shared" si="3"/>
        <v>79.42855999999999</v>
      </c>
      <c r="Y12" s="18">
        <f t="shared" si="4"/>
        <v>953.14271999999983</v>
      </c>
      <c r="Z12" s="18" t="str">
        <f>VLOOKUP($P12,APOIO!$D:$F,3,FALSE())</f>
        <v>1.2.3.8.1.02.01.02.01</v>
      </c>
      <c r="AA12" s="18">
        <f t="shared" si="5"/>
        <v>28832.567279999999</v>
      </c>
    </row>
    <row r="13" spans="1:27" ht="28.5" x14ac:dyDescent="0.2">
      <c r="A13" s="11" t="str">
        <f ca="1">IFERROR(__xludf.dummyfunction("CONCATENATE(""3."",APOIO!$B$2,""."",TEXT(INDEX(SPLIT(INDEX(A:A,ROW()-1,1),"".""),1,3)+1, ""00000""))"),"3.3262.00014")</f>
        <v>3.3262.00014</v>
      </c>
      <c r="B13" s="11" t="s">
        <v>125</v>
      </c>
      <c r="C13" s="11">
        <v>1787</v>
      </c>
      <c r="D13" s="11" t="s">
        <v>43</v>
      </c>
      <c r="E13" s="12" t="s">
        <v>92</v>
      </c>
      <c r="F13" s="13">
        <v>43244</v>
      </c>
      <c r="G13" s="34">
        <v>22840</v>
      </c>
      <c r="H13" s="12" t="s">
        <v>87</v>
      </c>
      <c r="I13" s="14" t="s">
        <v>126</v>
      </c>
      <c r="J13" s="11" t="s">
        <v>50</v>
      </c>
      <c r="K13" s="11" t="s">
        <v>97</v>
      </c>
      <c r="L13" s="12" t="str">
        <f>APOIO!$A$2</f>
        <v>EMATER</v>
      </c>
      <c r="M13" s="11">
        <f>APOIO!$B$2</f>
        <v>3262</v>
      </c>
      <c r="N13" s="18">
        <v>22840</v>
      </c>
      <c r="O13" s="17" t="str">
        <f>VLOOKUP($P13,APOIO!$D:$E,2,FALSE())</f>
        <v>1.2.3.2.1.01.02.01.00</v>
      </c>
      <c r="P13" s="12" t="s">
        <v>89</v>
      </c>
      <c r="Q13" s="11" t="s">
        <v>53</v>
      </c>
      <c r="R13" s="18"/>
      <c r="S13" s="18"/>
      <c r="T13" s="18"/>
      <c r="U13" s="18">
        <f t="shared" si="0"/>
        <v>22840</v>
      </c>
      <c r="V13" s="18">
        <f t="shared" si="1"/>
        <v>4568</v>
      </c>
      <c r="W13" s="19">
        <f t="shared" si="2"/>
        <v>12</v>
      </c>
      <c r="X13" s="18">
        <f t="shared" si="3"/>
        <v>60.906666666666666</v>
      </c>
      <c r="Y13" s="18">
        <f t="shared" si="4"/>
        <v>730.88</v>
      </c>
      <c r="Z13" s="18" t="str">
        <f>VLOOKUP($P13,APOIO!$D:$F,3,FALSE())</f>
        <v>1.2.3.8.1.02.01.02.01</v>
      </c>
      <c r="AA13" s="18">
        <f t="shared" si="5"/>
        <v>22109.119999999999</v>
      </c>
    </row>
    <row r="14" spans="1:27" ht="28.5" x14ac:dyDescent="0.2">
      <c r="A14" s="11" t="str">
        <f ca="1">IFERROR(__xludf.dummyfunction("CONCATENATE(""3."",APOIO!$B$2,""."",TEXT(INDEX(SPLIT(INDEX(A:A,ROW()-1,1),"".""),1,3)+1, ""00000""))"),"3.3262.00015")</f>
        <v>3.3262.00015</v>
      </c>
      <c r="B14" s="11" t="s">
        <v>127</v>
      </c>
      <c r="C14" s="11">
        <v>1929</v>
      </c>
      <c r="D14" s="11" t="s">
        <v>43</v>
      </c>
      <c r="E14" s="12" t="s">
        <v>128</v>
      </c>
      <c r="F14" s="13">
        <v>43293</v>
      </c>
      <c r="G14" s="34">
        <v>181778.1</v>
      </c>
      <c r="H14" s="12" t="s">
        <v>129</v>
      </c>
      <c r="I14" s="14" t="s">
        <v>130</v>
      </c>
      <c r="J14" s="11" t="s">
        <v>50</v>
      </c>
      <c r="K14" s="11" t="s">
        <v>51</v>
      </c>
      <c r="L14" s="12" t="str">
        <f>APOIO!$A$2</f>
        <v>EMATER</v>
      </c>
      <c r="M14" s="11">
        <f>APOIO!$B$2</f>
        <v>3262</v>
      </c>
      <c r="N14" s="18">
        <v>181778.1</v>
      </c>
      <c r="O14" s="17" t="str">
        <f>VLOOKUP($P14,APOIO!$D:$E,2,FALSE())</f>
        <v>1.2.3.2.1.01.02.01.00</v>
      </c>
      <c r="P14" s="12" t="s">
        <v>89</v>
      </c>
      <c r="Q14" s="11" t="s">
        <v>53</v>
      </c>
      <c r="R14" s="18"/>
      <c r="S14" s="18"/>
      <c r="T14" s="18"/>
      <c r="U14" s="18">
        <f t="shared" si="0"/>
        <v>181778.1</v>
      </c>
      <c r="V14" s="18">
        <f t="shared" si="1"/>
        <v>36355.620000000003</v>
      </c>
      <c r="W14" s="19">
        <f t="shared" si="2"/>
        <v>12</v>
      </c>
      <c r="X14" s="18">
        <f t="shared" si="3"/>
        <v>484.74160000000006</v>
      </c>
      <c r="Y14" s="18">
        <f t="shared" si="4"/>
        <v>5816.8992000000007</v>
      </c>
      <c r="Z14" s="18" t="str">
        <f>VLOOKUP($P14,APOIO!$D:$F,3,FALSE())</f>
        <v>1.2.3.8.1.02.01.02.01</v>
      </c>
      <c r="AA14" s="18">
        <f t="shared" si="5"/>
        <v>175961.20079999999</v>
      </c>
    </row>
    <row r="15" spans="1:27" ht="28.5" x14ac:dyDescent="0.2">
      <c r="A15" s="11" t="str">
        <f ca="1">IFERROR(__xludf.dummyfunction("CONCATENATE(""3."",APOIO!$B$2,""."",TEXT(INDEX(SPLIT(INDEX(A:A,ROW()-1,1),"".""),1,3)+1, ""00000""))"),"3.3262.00016")</f>
        <v>3.3262.00016</v>
      </c>
      <c r="B15" s="11" t="s">
        <v>131</v>
      </c>
      <c r="C15" s="11">
        <v>20021</v>
      </c>
      <c r="D15" s="11" t="s">
        <v>43</v>
      </c>
      <c r="E15" s="12" t="s">
        <v>132</v>
      </c>
      <c r="F15" s="13">
        <v>42023</v>
      </c>
      <c r="G15" s="34">
        <v>134425.44</v>
      </c>
      <c r="H15" s="12" t="s">
        <v>129</v>
      </c>
      <c r="I15" s="14" t="s">
        <v>133</v>
      </c>
      <c r="J15" s="11" t="s">
        <v>50</v>
      </c>
      <c r="K15" s="11" t="s">
        <v>97</v>
      </c>
      <c r="L15" s="12" t="str">
        <f>APOIO!$A$2</f>
        <v>EMATER</v>
      </c>
      <c r="M15" s="11">
        <f>APOIO!$B$2</f>
        <v>3262</v>
      </c>
      <c r="N15" s="18">
        <v>134425.44</v>
      </c>
      <c r="O15" s="17" t="str">
        <f>VLOOKUP($P15,APOIO!$D:$E,2,FALSE())</f>
        <v>1.2.3.2.1.01.02.01.00</v>
      </c>
      <c r="P15" s="12" t="s">
        <v>89</v>
      </c>
      <c r="Q15" s="11" t="s">
        <v>53</v>
      </c>
      <c r="R15" s="18"/>
      <c r="S15" s="18"/>
      <c r="T15" s="18"/>
      <c r="U15" s="18">
        <f t="shared" si="0"/>
        <v>134425.44</v>
      </c>
      <c r="V15" s="18">
        <f t="shared" si="1"/>
        <v>26885.088</v>
      </c>
      <c r="W15" s="19">
        <f t="shared" si="2"/>
        <v>12</v>
      </c>
      <c r="X15" s="18">
        <f t="shared" si="3"/>
        <v>358.46784000000002</v>
      </c>
      <c r="Y15" s="18">
        <f t="shared" si="4"/>
        <v>4301.6140800000003</v>
      </c>
      <c r="Z15" s="18" t="str">
        <f>VLOOKUP($P15,APOIO!$D:$F,3,FALSE())</f>
        <v>1.2.3.8.1.02.01.02.01</v>
      </c>
      <c r="AA15" s="18">
        <f t="shared" si="5"/>
        <v>130123.82592</v>
      </c>
    </row>
    <row r="16" spans="1:27" ht="28.5" x14ac:dyDescent="0.2">
      <c r="A16" s="11" t="str">
        <f ca="1">IFERROR(__xludf.dummyfunction("CONCATENATE(""3."",APOIO!$B$2,""."",TEXT(INDEX(SPLIT(INDEX(A:A,ROW()-1,1),"".""),1,3)+1, ""00000""))"),"3.3262.00017")</f>
        <v>3.3262.00017</v>
      </c>
      <c r="B16" s="11" t="s">
        <v>134</v>
      </c>
      <c r="C16" s="11">
        <v>2122</v>
      </c>
      <c r="D16" s="11" t="s">
        <v>43</v>
      </c>
      <c r="E16" s="12" t="s">
        <v>135</v>
      </c>
      <c r="F16" s="13">
        <v>43193</v>
      </c>
      <c r="G16" s="34">
        <v>143653.69</v>
      </c>
      <c r="H16" s="12" t="s">
        <v>87</v>
      </c>
      <c r="I16" s="14" t="s">
        <v>136</v>
      </c>
      <c r="J16" s="11" t="s">
        <v>50</v>
      </c>
      <c r="K16" s="11" t="s">
        <v>97</v>
      </c>
      <c r="L16" s="12" t="str">
        <f>APOIO!$A$2</f>
        <v>EMATER</v>
      </c>
      <c r="M16" s="11">
        <f>APOIO!$B$2</f>
        <v>3262</v>
      </c>
      <c r="N16" s="18">
        <v>143653.69</v>
      </c>
      <c r="O16" s="17" t="str">
        <f>VLOOKUP($P16,APOIO!$D:$E,2,FALSE())</f>
        <v>1.2.3.2.1.01.02.01.00</v>
      </c>
      <c r="P16" s="12" t="s">
        <v>89</v>
      </c>
      <c r="Q16" s="11" t="s">
        <v>53</v>
      </c>
      <c r="R16" s="18"/>
      <c r="S16" s="18"/>
      <c r="T16" s="18"/>
      <c r="U16" s="18">
        <f t="shared" si="0"/>
        <v>143653.69</v>
      </c>
      <c r="V16" s="18">
        <f t="shared" si="1"/>
        <v>28730.737999999998</v>
      </c>
      <c r="W16" s="19">
        <f t="shared" si="2"/>
        <v>12</v>
      </c>
      <c r="X16" s="18">
        <f t="shared" si="3"/>
        <v>383.07650666666672</v>
      </c>
      <c r="Y16" s="18">
        <f t="shared" si="4"/>
        <v>4596.9180800000004</v>
      </c>
      <c r="Z16" s="18" t="str">
        <f>VLOOKUP($P16,APOIO!$D:$F,3,FALSE())</f>
        <v>1.2.3.8.1.02.01.02.01</v>
      </c>
      <c r="AA16" s="18">
        <f t="shared" si="5"/>
        <v>139056.77192</v>
      </c>
    </row>
    <row r="17" spans="1:27" ht="28.5" x14ac:dyDescent="0.2">
      <c r="A17" s="11" t="str">
        <f ca="1">IFERROR(__xludf.dummyfunction("CONCATENATE(""3."",APOIO!$B$2,""."",TEXT(INDEX(SPLIT(INDEX(A:A,ROW()-1,1),"".""),1,3)+1, ""00000""))"),"3.3262.00018")</f>
        <v>3.3262.00018</v>
      </c>
      <c r="B17" s="11" t="s">
        <v>137</v>
      </c>
      <c r="C17" s="11">
        <v>1917</v>
      </c>
      <c r="D17" s="11" t="s">
        <v>43</v>
      </c>
      <c r="E17" s="12" t="s">
        <v>138</v>
      </c>
      <c r="F17" s="13">
        <v>41995</v>
      </c>
      <c r="G17" s="34">
        <v>15000</v>
      </c>
      <c r="H17" s="12" t="s">
        <v>87</v>
      </c>
      <c r="I17" s="14" t="s">
        <v>139</v>
      </c>
      <c r="J17" s="11" t="s">
        <v>50</v>
      </c>
      <c r="K17" s="11" t="s">
        <v>97</v>
      </c>
      <c r="L17" s="12" t="str">
        <f>APOIO!$A$2</f>
        <v>EMATER</v>
      </c>
      <c r="M17" s="11">
        <f>APOIO!$B$2</f>
        <v>3262</v>
      </c>
      <c r="N17" s="18">
        <v>15000</v>
      </c>
      <c r="O17" s="17" t="str">
        <f>VLOOKUP($P17,APOIO!$D:$E,2,FALSE())</f>
        <v>1.2.3.2.1.01.02.01.00</v>
      </c>
      <c r="P17" s="12" t="s">
        <v>89</v>
      </c>
      <c r="Q17" s="11" t="s">
        <v>53</v>
      </c>
      <c r="R17" s="18"/>
      <c r="S17" s="18"/>
      <c r="T17" s="18"/>
      <c r="U17" s="18">
        <f t="shared" si="0"/>
        <v>15000</v>
      </c>
      <c r="V17" s="18">
        <f t="shared" si="1"/>
        <v>3000</v>
      </c>
      <c r="W17" s="19">
        <f t="shared" si="2"/>
        <v>12</v>
      </c>
      <c r="X17" s="18">
        <f t="shared" si="3"/>
        <v>40</v>
      </c>
      <c r="Y17" s="18">
        <f t="shared" si="4"/>
        <v>480</v>
      </c>
      <c r="Z17" s="18" t="str">
        <f>VLOOKUP($P17,APOIO!$D:$F,3,FALSE())</f>
        <v>1.2.3.8.1.02.01.02.01</v>
      </c>
      <c r="AA17" s="18">
        <f t="shared" si="5"/>
        <v>14520</v>
      </c>
    </row>
    <row r="18" spans="1:27" ht="28.5" x14ac:dyDescent="0.2">
      <c r="A18" s="11" t="str">
        <f ca="1">IFERROR(__xludf.dummyfunction("CONCATENATE(""3."",APOIO!$B$2,""."",TEXT(INDEX(SPLIT(INDEX(A:A,ROW()-1,1),"".""),1,3)+1, ""00000""))"),"3.3262.00019")</f>
        <v>3.3262.00019</v>
      </c>
      <c r="B18" s="11" t="s">
        <v>140</v>
      </c>
      <c r="C18" s="11">
        <v>1457</v>
      </c>
      <c r="D18" s="11" t="s">
        <v>43</v>
      </c>
      <c r="E18" s="12" t="s">
        <v>141</v>
      </c>
      <c r="F18" s="13">
        <v>43257</v>
      </c>
      <c r="G18" s="34">
        <v>40947.599999999999</v>
      </c>
      <c r="H18" s="12" t="s">
        <v>87</v>
      </c>
      <c r="I18" s="14" t="s">
        <v>142</v>
      </c>
      <c r="J18" s="11" t="s">
        <v>50</v>
      </c>
      <c r="K18" s="11" t="s">
        <v>51</v>
      </c>
      <c r="L18" s="12" t="str">
        <f>APOIO!$A$2</f>
        <v>EMATER</v>
      </c>
      <c r="M18" s="11">
        <f>APOIO!$B$2</f>
        <v>3262</v>
      </c>
      <c r="N18" s="18">
        <v>40947.599999999999</v>
      </c>
      <c r="O18" s="17" t="str">
        <f>VLOOKUP($P18,APOIO!$D:$E,2,FALSE())</f>
        <v>1.2.3.2.1.01.02.01.00</v>
      </c>
      <c r="P18" s="12" t="s">
        <v>89</v>
      </c>
      <c r="Q18" s="11" t="s">
        <v>53</v>
      </c>
      <c r="R18" s="18"/>
      <c r="S18" s="18"/>
      <c r="T18" s="18"/>
      <c r="U18" s="18">
        <f t="shared" si="0"/>
        <v>40947.599999999999</v>
      </c>
      <c r="V18" s="18">
        <f t="shared" si="1"/>
        <v>8189.52</v>
      </c>
      <c r="W18" s="19">
        <f t="shared" si="2"/>
        <v>12</v>
      </c>
      <c r="X18" s="18">
        <f t="shared" si="3"/>
        <v>109.19359999999999</v>
      </c>
      <c r="Y18" s="18">
        <f t="shared" si="4"/>
        <v>1310.3231999999998</v>
      </c>
      <c r="Z18" s="18" t="str">
        <f>VLOOKUP($P18,APOIO!$D:$F,3,FALSE())</f>
        <v>1.2.3.8.1.02.01.02.01</v>
      </c>
      <c r="AA18" s="18">
        <f t="shared" si="5"/>
        <v>39637.2768</v>
      </c>
    </row>
    <row r="19" spans="1:27" ht="28.5" x14ac:dyDescent="0.2">
      <c r="A19" s="11" t="str">
        <f ca="1">IFERROR(__xludf.dummyfunction("CONCATENATE(""3."",APOIO!$B$2,""."",TEXT(INDEX(SPLIT(INDEX(A:A,ROW()-1,1),"".""),1,3)+1, ""00000""))"),"3.3262.00020")</f>
        <v>3.3262.00020</v>
      </c>
      <c r="B19" s="11" t="s">
        <v>143</v>
      </c>
      <c r="C19" s="11">
        <v>1299</v>
      </c>
      <c r="D19" s="11" t="s">
        <v>43</v>
      </c>
      <c r="E19" s="12" t="s">
        <v>144</v>
      </c>
      <c r="F19" s="13">
        <v>43116</v>
      </c>
      <c r="G19" s="34">
        <v>80000</v>
      </c>
      <c r="H19" s="12" t="s">
        <v>87</v>
      </c>
      <c r="I19" s="14" t="s">
        <v>145</v>
      </c>
      <c r="J19" s="11" t="s">
        <v>50</v>
      </c>
      <c r="K19" s="11" t="s">
        <v>97</v>
      </c>
      <c r="L19" s="12" t="str">
        <f>APOIO!$A$2</f>
        <v>EMATER</v>
      </c>
      <c r="M19" s="11">
        <f>APOIO!$B$2</f>
        <v>3262</v>
      </c>
      <c r="N19" s="18">
        <v>80000</v>
      </c>
      <c r="O19" s="17" t="str">
        <f>VLOOKUP($P19,APOIO!$D:$E,2,FALSE())</f>
        <v>1.2.3.2.1.01.02.01.00</v>
      </c>
      <c r="P19" s="12" t="s">
        <v>89</v>
      </c>
      <c r="Q19" s="11" t="s">
        <v>53</v>
      </c>
      <c r="R19" s="18"/>
      <c r="S19" s="18"/>
      <c r="T19" s="18"/>
      <c r="U19" s="18">
        <f t="shared" si="0"/>
        <v>80000</v>
      </c>
      <c r="V19" s="18">
        <f t="shared" si="1"/>
        <v>16000</v>
      </c>
      <c r="W19" s="19">
        <f t="shared" si="2"/>
        <v>12</v>
      </c>
      <c r="X19" s="18">
        <f t="shared" si="3"/>
        <v>213.33333333333334</v>
      </c>
      <c r="Y19" s="18">
        <f t="shared" si="4"/>
        <v>2560</v>
      </c>
      <c r="Z19" s="18" t="str">
        <f>VLOOKUP($P19,APOIO!$D:$F,3,FALSE())</f>
        <v>1.2.3.8.1.02.01.02.01</v>
      </c>
      <c r="AA19" s="18">
        <f t="shared" si="5"/>
        <v>77440</v>
      </c>
    </row>
    <row r="20" spans="1:27" ht="28.5" x14ac:dyDescent="0.2">
      <c r="A20" s="11" t="str">
        <f ca="1">IFERROR(__xludf.dummyfunction("CONCATENATE(""3."",APOIO!$B$2,""."",TEXT(INDEX(SPLIT(INDEX(A:A,ROW()-1,1),"".""),1,3)+1, ""00000""))"),"3.3262.00021")</f>
        <v>3.3262.00021</v>
      </c>
      <c r="B20" s="11" t="s">
        <v>146</v>
      </c>
      <c r="C20" s="11">
        <v>3417</v>
      </c>
      <c r="D20" s="11" t="s">
        <v>43</v>
      </c>
      <c r="E20" s="12" t="s">
        <v>147</v>
      </c>
      <c r="F20" s="13">
        <v>43250</v>
      </c>
      <c r="G20" s="34">
        <v>130000</v>
      </c>
      <c r="H20" s="12" t="s">
        <v>87</v>
      </c>
      <c r="I20" s="14" t="s">
        <v>148</v>
      </c>
      <c r="J20" s="11" t="s">
        <v>50</v>
      </c>
      <c r="K20" s="11" t="s">
        <v>51</v>
      </c>
      <c r="L20" s="12" t="str">
        <f>APOIO!$A$2</f>
        <v>EMATER</v>
      </c>
      <c r="M20" s="11">
        <f>APOIO!$B$2</f>
        <v>3262</v>
      </c>
      <c r="N20" s="18">
        <v>130000</v>
      </c>
      <c r="O20" s="17" t="str">
        <f>VLOOKUP($P20,APOIO!$D:$E,2,FALSE())</f>
        <v>1.2.3.2.1.01.02.01.00</v>
      </c>
      <c r="P20" s="12" t="s">
        <v>89</v>
      </c>
      <c r="Q20" s="11" t="s">
        <v>53</v>
      </c>
      <c r="R20" s="18"/>
      <c r="S20" s="18"/>
      <c r="T20" s="18"/>
      <c r="U20" s="18">
        <f t="shared" si="0"/>
        <v>130000</v>
      </c>
      <c r="V20" s="18">
        <f t="shared" si="1"/>
        <v>26000</v>
      </c>
      <c r="W20" s="19">
        <f t="shared" si="2"/>
        <v>12</v>
      </c>
      <c r="X20" s="18">
        <f t="shared" si="3"/>
        <v>346.66666666666669</v>
      </c>
      <c r="Y20" s="18">
        <f t="shared" si="4"/>
        <v>4160</v>
      </c>
      <c r="Z20" s="18" t="str">
        <f>VLOOKUP($P20,APOIO!$D:$F,3,FALSE())</f>
        <v>1.2.3.8.1.02.01.02.01</v>
      </c>
      <c r="AA20" s="18">
        <f t="shared" si="5"/>
        <v>125840</v>
      </c>
    </row>
    <row r="21" spans="1:27" ht="28.5" x14ac:dyDescent="0.2">
      <c r="A21" s="11" t="str">
        <f ca="1">IFERROR(__xludf.dummyfunction("CONCATENATE(""3."",APOIO!$B$2,""."",TEXT(INDEX(SPLIT(INDEX(A:A,ROW()-1,1),"".""),1,3)+1, ""00000""))"),"3.3262.00023")</f>
        <v>3.3262.00023</v>
      </c>
      <c r="B21" s="11" t="s">
        <v>149</v>
      </c>
      <c r="C21" s="11">
        <v>4306</v>
      </c>
      <c r="D21" s="11" t="s">
        <v>43</v>
      </c>
      <c r="E21" s="12" t="s">
        <v>150</v>
      </c>
      <c r="F21" s="13">
        <v>43196</v>
      </c>
      <c r="G21" s="34">
        <v>191105.04</v>
      </c>
      <c r="H21" s="12" t="s">
        <v>87</v>
      </c>
      <c r="I21" s="14" t="s">
        <v>151</v>
      </c>
      <c r="J21" s="11" t="s">
        <v>50</v>
      </c>
      <c r="K21" s="11" t="s">
        <v>97</v>
      </c>
      <c r="L21" s="12" t="str">
        <f>APOIO!$A$2</f>
        <v>EMATER</v>
      </c>
      <c r="M21" s="11">
        <f>APOIO!$B$2</f>
        <v>3262</v>
      </c>
      <c r="N21" s="18">
        <v>191105.04</v>
      </c>
      <c r="O21" s="17" t="str">
        <f>VLOOKUP($P21,APOIO!$D:$E,2,FALSE())</f>
        <v>1.2.3.2.1.01.02.01.00</v>
      </c>
      <c r="P21" s="12" t="s">
        <v>89</v>
      </c>
      <c r="Q21" s="11" t="s">
        <v>53</v>
      </c>
      <c r="R21" s="18"/>
      <c r="S21" s="18"/>
      <c r="T21" s="18"/>
      <c r="U21" s="18">
        <f t="shared" si="0"/>
        <v>191105.04</v>
      </c>
      <c r="V21" s="18">
        <f t="shared" si="1"/>
        <v>38221.008000000002</v>
      </c>
      <c r="W21" s="19">
        <f t="shared" si="2"/>
        <v>12</v>
      </c>
      <c r="X21" s="18">
        <f t="shared" si="3"/>
        <v>509.61344000000003</v>
      </c>
      <c r="Y21" s="18">
        <f t="shared" si="4"/>
        <v>6115.3612800000001</v>
      </c>
      <c r="Z21" s="18" t="str">
        <f>VLOOKUP($P21,APOIO!$D:$F,3,FALSE())</f>
        <v>1.2.3.8.1.02.01.02.01</v>
      </c>
      <c r="AA21" s="18">
        <f t="shared" si="5"/>
        <v>184989.67872</v>
      </c>
    </row>
    <row r="22" spans="1:27" ht="28.5" x14ac:dyDescent="0.2">
      <c r="A22" s="11" t="str">
        <f ca="1">IFERROR(__xludf.dummyfunction("CONCATENATE(""3."",APOIO!$B$2,""."",TEXT(INDEX(SPLIT(INDEX(A:A,ROW()-1,1),"".""),1,3)+1, ""00000""))"),"3.3262.00024")</f>
        <v>3.3262.00024</v>
      </c>
      <c r="B22" s="11" t="s">
        <v>152</v>
      </c>
      <c r="C22" s="11">
        <v>1393</v>
      </c>
      <c r="D22" s="11" t="s">
        <v>43</v>
      </c>
      <c r="E22" s="12" t="s">
        <v>153</v>
      </c>
      <c r="F22" s="13">
        <v>43270</v>
      </c>
      <c r="G22" s="34">
        <v>46632.24</v>
      </c>
      <c r="H22" s="12" t="s">
        <v>87</v>
      </c>
      <c r="I22" s="14" t="s">
        <v>154</v>
      </c>
      <c r="J22" s="11" t="s">
        <v>50</v>
      </c>
      <c r="K22" s="11" t="s">
        <v>51</v>
      </c>
      <c r="L22" s="12" t="str">
        <f>APOIO!$A$2</f>
        <v>EMATER</v>
      </c>
      <c r="M22" s="11">
        <f>APOIO!$B$2</f>
        <v>3262</v>
      </c>
      <c r="N22" s="18">
        <v>46632.24</v>
      </c>
      <c r="O22" s="17" t="str">
        <f>VLOOKUP($P22,APOIO!$D:$E,2,FALSE())</f>
        <v>1.2.3.2.1.01.02.01.00</v>
      </c>
      <c r="P22" s="12" t="s">
        <v>89</v>
      </c>
      <c r="Q22" s="11" t="s">
        <v>53</v>
      </c>
      <c r="R22" s="18"/>
      <c r="S22" s="18"/>
      <c r="T22" s="18"/>
      <c r="U22" s="18">
        <f t="shared" si="0"/>
        <v>46632.24</v>
      </c>
      <c r="V22" s="18">
        <f t="shared" si="1"/>
        <v>9326.4479999999985</v>
      </c>
      <c r="W22" s="19">
        <f t="shared" si="2"/>
        <v>12</v>
      </c>
      <c r="X22" s="18">
        <f t="shared" si="3"/>
        <v>124.35264000000001</v>
      </c>
      <c r="Y22" s="18">
        <f t="shared" si="4"/>
        <v>1492.2316800000001</v>
      </c>
      <c r="Z22" s="18" t="str">
        <f>VLOOKUP($P22,APOIO!$D:$F,3,FALSE())</f>
        <v>1.2.3.8.1.02.01.02.01</v>
      </c>
      <c r="AA22" s="18">
        <f t="shared" si="5"/>
        <v>45140.008320000001</v>
      </c>
    </row>
    <row r="23" spans="1:27" ht="28.5" x14ac:dyDescent="0.2">
      <c r="A23" s="11" t="str">
        <f ca="1">IFERROR(__xludf.dummyfunction("CONCATENATE(""3."",APOIO!$B$2,""."",TEXT(INDEX(SPLIT(INDEX(A:A,ROW()-1,1),"".""),1,3)+1, ""00000""))"),"3.3262.00026")</f>
        <v>3.3262.00026</v>
      </c>
      <c r="B23" s="11" t="s">
        <v>155</v>
      </c>
      <c r="C23" s="11">
        <v>463</v>
      </c>
      <c r="D23" s="11" t="s">
        <v>43</v>
      </c>
      <c r="E23" s="12" t="s">
        <v>156</v>
      </c>
      <c r="F23" s="13">
        <v>43270</v>
      </c>
      <c r="G23" s="34">
        <v>22840</v>
      </c>
      <c r="H23" s="12" t="s">
        <v>129</v>
      </c>
      <c r="I23" s="14" t="s">
        <v>157</v>
      </c>
      <c r="J23" s="11" t="s">
        <v>50</v>
      </c>
      <c r="K23" s="11" t="s">
        <v>97</v>
      </c>
      <c r="L23" s="12" t="str">
        <f>APOIO!$A$2</f>
        <v>EMATER</v>
      </c>
      <c r="M23" s="11">
        <f>APOIO!$B$2</f>
        <v>3262</v>
      </c>
      <c r="N23" s="18">
        <v>22840</v>
      </c>
      <c r="O23" s="17" t="str">
        <f>VLOOKUP($P23,APOIO!$D:$E,2,FALSE())</f>
        <v>1.2.3.2.1.01.02.01.00</v>
      </c>
      <c r="P23" s="12" t="s">
        <v>89</v>
      </c>
      <c r="Q23" s="11" t="s">
        <v>53</v>
      </c>
      <c r="R23" s="18"/>
      <c r="S23" s="18"/>
      <c r="T23" s="18"/>
      <c r="U23" s="18">
        <f t="shared" si="0"/>
        <v>22840</v>
      </c>
      <c r="V23" s="18">
        <f t="shared" si="1"/>
        <v>4568</v>
      </c>
      <c r="W23" s="19">
        <f t="shared" si="2"/>
        <v>12</v>
      </c>
      <c r="X23" s="18">
        <f t="shared" si="3"/>
        <v>60.906666666666666</v>
      </c>
      <c r="Y23" s="18">
        <f t="shared" si="4"/>
        <v>730.88</v>
      </c>
      <c r="Z23" s="18" t="str">
        <f>VLOOKUP($P23,APOIO!$D:$F,3,FALSE())</f>
        <v>1.2.3.8.1.02.01.02.01</v>
      </c>
      <c r="AA23" s="18">
        <f t="shared" si="5"/>
        <v>22109.119999999999</v>
      </c>
    </row>
    <row r="24" spans="1:27" ht="28.5" x14ac:dyDescent="0.2">
      <c r="A24" s="11" t="str">
        <f ca="1">IFERROR(__xludf.dummyfunction("CONCATENATE(""3."",APOIO!$B$2,""."",TEXT(INDEX(SPLIT(INDEX(A:A,ROW()-1,1),"".""),1,3)+1, ""00000""))"),"3.3262.00027")</f>
        <v>3.3262.00027</v>
      </c>
      <c r="B24" s="11" t="s">
        <v>158</v>
      </c>
      <c r="C24" s="11">
        <v>12326</v>
      </c>
      <c r="D24" s="11" t="s">
        <v>43</v>
      </c>
      <c r="E24" s="12" t="s">
        <v>159</v>
      </c>
      <c r="F24" s="13">
        <v>41289</v>
      </c>
      <c r="G24" s="34">
        <v>50000</v>
      </c>
      <c r="H24" s="12" t="s">
        <v>87</v>
      </c>
      <c r="I24" s="14" t="s">
        <v>160</v>
      </c>
      <c r="J24" s="11" t="s">
        <v>50</v>
      </c>
      <c r="K24" s="11" t="s">
        <v>97</v>
      </c>
      <c r="L24" s="12" t="str">
        <f>APOIO!$A$2</f>
        <v>EMATER</v>
      </c>
      <c r="M24" s="11">
        <f>APOIO!$B$2</f>
        <v>3262</v>
      </c>
      <c r="N24" s="18">
        <v>50000</v>
      </c>
      <c r="O24" s="17" t="str">
        <f>VLOOKUP($P24,APOIO!$D:$E,2,FALSE())</f>
        <v>1.2.3.2.1.01.02.01.00</v>
      </c>
      <c r="P24" s="12" t="s">
        <v>89</v>
      </c>
      <c r="Q24" s="11" t="s">
        <v>53</v>
      </c>
      <c r="R24" s="18"/>
      <c r="S24" s="18"/>
      <c r="T24" s="18"/>
      <c r="U24" s="18">
        <f t="shared" si="0"/>
        <v>50000</v>
      </c>
      <c r="V24" s="18">
        <f t="shared" si="1"/>
        <v>10000</v>
      </c>
      <c r="W24" s="19">
        <f t="shared" si="2"/>
        <v>12</v>
      </c>
      <c r="X24" s="18">
        <f t="shared" si="3"/>
        <v>133.33333333333334</v>
      </c>
      <c r="Y24" s="18">
        <f t="shared" si="4"/>
        <v>1600</v>
      </c>
      <c r="Z24" s="18" t="str">
        <f>VLOOKUP($P24,APOIO!$D:$F,3,FALSE())</f>
        <v>1.2.3.8.1.02.01.02.01</v>
      </c>
      <c r="AA24" s="18">
        <f t="shared" si="5"/>
        <v>48400</v>
      </c>
    </row>
    <row r="25" spans="1:27" ht="28.5" x14ac:dyDescent="0.2">
      <c r="A25" s="11" t="str">
        <f ca="1">IFERROR(__xludf.dummyfunction("CONCATENATE(""3."",APOIO!$B$2,""."",TEXT(INDEX(SPLIT(INDEX(A:A,ROW()-1,1),"".""),1,3)+1, ""00000""))"),"3.3262.00028")</f>
        <v>3.3262.00028</v>
      </c>
      <c r="B25" s="11" t="s">
        <v>161</v>
      </c>
      <c r="C25" s="11">
        <v>1240</v>
      </c>
      <c r="D25" s="11" t="s">
        <v>43</v>
      </c>
      <c r="E25" s="12" t="s">
        <v>92</v>
      </c>
      <c r="F25" s="13">
        <v>43207</v>
      </c>
      <c r="G25" s="34">
        <v>70000</v>
      </c>
      <c r="H25" s="12" t="s">
        <v>87</v>
      </c>
      <c r="I25" s="14" t="s">
        <v>162</v>
      </c>
      <c r="J25" s="11" t="s">
        <v>50</v>
      </c>
      <c r="K25" s="11" t="s">
        <v>97</v>
      </c>
      <c r="L25" s="12" t="str">
        <f>APOIO!$A$2</f>
        <v>EMATER</v>
      </c>
      <c r="M25" s="11">
        <f>APOIO!$B$2</f>
        <v>3262</v>
      </c>
      <c r="N25" s="18">
        <v>70000</v>
      </c>
      <c r="O25" s="17" t="str">
        <f>VLOOKUP($P25,APOIO!$D:$E,2,FALSE())</f>
        <v>1.2.3.2.1.01.02.01.00</v>
      </c>
      <c r="P25" s="12" t="s">
        <v>89</v>
      </c>
      <c r="Q25" s="11" t="s">
        <v>53</v>
      </c>
      <c r="R25" s="18"/>
      <c r="S25" s="18"/>
      <c r="T25" s="18"/>
      <c r="U25" s="18">
        <f t="shared" si="0"/>
        <v>70000</v>
      </c>
      <c r="V25" s="18">
        <f t="shared" si="1"/>
        <v>14000</v>
      </c>
      <c r="W25" s="19">
        <f t="shared" si="2"/>
        <v>12</v>
      </c>
      <c r="X25" s="18">
        <f t="shared" si="3"/>
        <v>186.66666666666666</v>
      </c>
      <c r="Y25" s="18">
        <f t="shared" si="4"/>
        <v>2240</v>
      </c>
      <c r="Z25" s="18" t="str">
        <f>VLOOKUP($P25,APOIO!$D:$F,3,FALSE())</f>
        <v>1.2.3.8.1.02.01.02.01</v>
      </c>
      <c r="AA25" s="18">
        <f t="shared" si="5"/>
        <v>67760</v>
      </c>
    </row>
    <row r="26" spans="1:27" ht="28.5" x14ac:dyDescent="0.2">
      <c r="A26" s="11" t="str">
        <f ca="1">IFERROR(__xludf.dummyfunction("CONCATENATE(""3."",APOIO!$B$2,""."",TEXT(INDEX(SPLIT(INDEX(A:A,ROW()-1,1),"".""),1,3)+1, ""00000""))"),"3.3262.00029")</f>
        <v>3.3262.00029</v>
      </c>
      <c r="B26" s="11" t="s">
        <v>163</v>
      </c>
      <c r="C26" s="11">
        <v>2007</v>
      </c>
      <c r="D26" s="11" t="s">
        <v>43</v>
      </c>
      <c r="E26" s="12" t="s">
        <v>164</v>
      </c>
      <c r="F26" s="13">
        <v>43271</v>
      </c>
      <c r="G26" s="34">
        <v>21905.5</v>
      </c>
      <c r="H26" s="12" t="s">
        <v>87</v>
      </c>
      <c r="I26" s="14" t="s">
        <v>165</v>
      </c>
      <c r="J26" s="11" t="s">
        <v>50</v>
      </c>
      <c r="K26" s="11" t="s">
        <v>97</v>
      </c>
      <c r="L26" s="12" t="str">
        <f>APOIO!$A$2</f>
        <v>EMATER</v>
      </c>
      <c r="M26" s="11">
        <f>APOIO!$B$2</f>
        <v>3262</v>
      </c>
      <c r="N26" s="18">
        <v>21905.5</v>
      </c>
      <c r="O26" s="17" t="str">
        <f>VLOOKUP($P26,APOIO!$D:$E,2,FALSE())</f>
        <v>1.2.3.2.1.01.02.01.00</v>
      </c>
      <c r="P26" s="12" t="s">
        <v>89</v>
      </c>
      <c r="Q26" s="11" t="s">
        <v>53</v>
      </c>
      <c r="R26" s="18"/>
      <c r="S26" s="18"/>
      <c r="T26" s="18"/>
      <c r="U26" s="18">
        <f t="shared" si="0"/>
        <v>21905.5</v>
      </c>
      <c r="V26" s="18">
        <f t="shared" si="1"/>
        <v>4381.1000000000004</v>
      </c>
      <c r="W26" s="19">
        <f t="shared" si="2"/>
        <v>12</v>
      </c>
      <c r="X26" s="18">
        <f t="shared" si="3"/>
        <v>58.414666666666676</v>
      </c>
      <c r="Y26" s="18">
        <f t="shared" si="4"/>
        <v>700.97600000000011</v>
      </c>
      <c r="Z26" s="18" t="str">
        <f>VLOOKUP($P26,APOIO!$D:$F,3,FALSE())</f>
        <v>1.2.3.8.1.02.01.02.01</v>
      </c>
      <c r="AA26" s="18">
        <f t="shared" si="5"/>
        <v>21204.524000000001</v>
      </c>
    </row>
    <row r="27" spans="1:27" ht="28.5" x14ac:dyDescent="0.2">
      <c r="A27" s="11" t="str">
        <f ca="1">IFERROR(__xludf.dummyfunction("CONCATENATE(""3."",APOIO!$B$2,""."",TEXT(INDEX(SPLIT(INDEX(A:A,ROW()-1,1),"".""),1,3)+1, ""00000""))"),"3.3262.00030")</f>
        <v>3.3262.00030</v>
      </c>
      <c r="B27" s="11" t="s">
        <v>166</v>
      </c>
      <c r="C27" s="11">
        <v>8849</v>
      </c>
      <c r="D27" s="11" t="s">
        <v>43</v>
      </c>
      <c r="E27" s="12" t="s">
        <v>92</v>
      </c>
      <c r="F27" s="13">
        <v>43346</v>
      </c>
      <c r="G27" s="34">
        <v>68278.38</v>
      </c>
      <c r="H27" s="12" t="s">
        <v>87</v>
      </c>
      <c r="I27" s="14" t="s">
        <v>167</v>
      </c>
      <c r="J27" s="11" t="s">
        <v>50</v>
      </c>
      <c r="K27" s="11" t="s">
        <v>97</v>
      </c>
      <c r="L27" s="12" t="str">
        <f>APOIO!$A$2</f>
        <v>EMATER</v>
      </c>
      <c r="M27" s="11">
        <f>APOIO!$B$2</f>
        <v>3262</v>
      </c>
      <c r="N27" s="18">
        <v>68278.38</v>
      </c>
      <c r="O27" s="17" t="str">
        <f>VLOOKUP($P27,APOIO!$D:$E,2,FALSE())</f>
        <v>1.2.3.2.1.01.02.01.00</v>
      </c>
      <c r="P27" s="12" t="s">
        <v>89</v>
      </c>
      <c r="Q27" s="11" t="s">
        <v>53</v>
      </c>
      <c r="R27" s="18"/>
      <c r="S27" s="18"/>
      <c r="T27" s="18"/>
      <c r="U27" s="18">
        <f t="shared" si="0"/>
        <v>68278.38</v>
      </c>
      <c r="V27" s="18">
        <f t="shared" si="1"/>
        <v>13655.676000000001</v>
      </c>
      <c r="W27" s="19">
        <f t="shared" si="2"/>
        <v>12</v>
      </c>
      <c r="X27" s="18">
        <f t="shared" si="3"/>
        <v>182.07568000000003</v>
      </c>
      <c r="Y27" s="18">
        <f t="shared" si="4"/>
        <v>2184.9081600000004</v>
      </c>
      <c r="Z27" s="18" t="str">
        <f>VLOOKUP($P27,APOIO!$D:$F,3,FALSE())</f>
        <v>1.2.3.8.1.02.01.02.01</v>
      </c>
      <c r="AA27" s="18">
        <f t="shared" si="5"/>
        <v>66093.471839999998</v>
      </c>
    </row>
    <row r="28" spans="1:27" ht="28.5" x14ac:dyDescent="0.2">
      <c r="A28" s="11" t="str">
        <f ca="1">IFERROR(__xludf.dummyfunction("CONCATENATE(""3."",APOIO!$B$2,""."",TEXT(INDEX(SPLIT(INDEX(A:A,ROW()-1,1),"".""),1,3)+1, ""00000""))"),"3.3262.00031")</f>
        <v>3.3262.00031</v>
      </c>
      <c r="B28" s="11" t="s">
        <v>168</v>
      </c>
      <c r="C28" s="11">
        <v>20815</v>
      </c>
      <c r="D28" s="11" t="s">
        <v>43</v>
      </c>
      <c r="E28" s="12" t="s">
        <v>169</v>
      </c>
      <c r="F28" s="13">
        <v>43262</v>
      </c>
      <c r="G28" s="34">
        <v>181627.02</v>
      </c>
      <c r="H28" s="12" t="s">
        <v>87</v>
      </c>
      <c r="I28" s="14" t="s">
        <v>170</v>
      </c>
      <c r="J28" s="11" t="s">
        <v>50</v>
      </c>
      <c r="K28" s="11" t="s">
        <v>97</v>
      </c>
      <c r="L28" s="12" t="str">
        <f>APOIO!$A$2</f>
        <v>EMATER</v>
      </c>
      <c r="M28" s="11">
        <f>APOIO!$B$2</f>
        <v>3262</v>
      </c>
      <c r="N28" s="18">
        <v>181627.02</v>
      </c>
      <c r="O28" s="17" t="str">
        <f>VLOOKUP($P28,APOIO!$D:$E,2,FALSE())</f>
        <v>1.2.3.2.1.01.02.01.00</v>
      </c>
      <c r="P28" s="12" t="s">
        <v>89</v>
      </c>
      <c r="Q28" s="11" t="s">
        <v>53</v>
      </c>
      <c r="R28" s="18"/>
      <c r="S28" s="18"/>
      <c r="T28" s="18"/>
      <c r="U28" s="18">
        <f t="shared" si="0"/>
        <v>181627.02</v>
      </c>
      <c r="V28" s="18">
        <f t="shared" si="1"/>
        <v>36325.404000000002</v>
      </c>
      <c r="W28" s="19">
        <f t="shared" si="2"/>
        <v>12</v>
      </c>
      <c r="X28" s="18">
        <f t="shared" si="3"/>
        <v>484.33871999999997</v>
      </c>
      <c r="Y28" s="18">
        <f t="shared" si="4"/>
        <v>5812.0646399999996</v>
      </c>
      <c r="Z28" s="18" t="str">
        <f>VLOOKUP($P28,APOIO!$D:$F,3,FALSE())</f>
        <v>1.2.3.8.1.02.01.02.01</v>
      </c>
      <c r="AA28" s="18">
        <f t="shared" si="5"/>
        <v>175814.95535999999</v>
      </c>
    </row>
    <row r="29" spans="1:27" ht="28.5" x14ac:dyDescent="0.2">
      <c r="A29" s="11" t="str">
        <f ca="1">IFERROR(__xludf.dummyfunction("CONCATENATE(""3."",APOIO!$B$2,""."",TEXT(INDEX(SPLIT(INDEX(A:A,ROW()-1,1),"".""),1,3)+1, ""00000""))"),"3.3262.00032")</f>
        <v>3.3262.00032</v>
      </c>
      <c r="B29" s="11" t="s">
        <v>171</v>
      </c>
      <c r="C29" s="11">
        <v>11917</v>
      </c>
      <c r="D29" s="11" t="s">
        <v>43</v>
      </c>
      <c r="E29" s="12" t="s">
        <v>172</v>
      </c>
      <c r="F29" s="13">
        <v>43334</v>
      </c>
      <c r="G29" s="34">
        <v>345263.07</v>
      </c>
      <c r="H29" s="12" t="s">
        <v>87</v>
      </c>
      <c r="I29" s="14" t="s">
        <v>173</v>
      </c>
      <c r="J29" s="11" t="s">
        <v>50</v>
      </c>
      <c r="K29" s="11" t="s">
        <v>97</v>
      </c>
      <c r="L29" s="12" t="str">
        <f>APOIO!$A$2</f>
        <v>EMATER</v>
      </c>
      <c r="M29" s="11">
        <f>APOIO!$B$2</f>
        <v>3262</v>
      </c>
      <c r="N29" s="18">
        <v>345263.07</v>
      </c>
      <c r="O29" s="17" t="str">
        <f>VLOOKUP($P29,APOIO!$D:$E,2,FALSE())</f>
        <v>1.2.3.2.1.01.02.01.00</v>
      </c>
      <c r="P29" s="12" t="s">
        <v>89</v>
      </c>
      <c r="Q29" s="11" t="s">
        <v>53</v>
      </c>
      <c r="R29" s="18"/>
      <c r="S29" s="18"/>
      <c r="T29" s="18"/>
      <c r="U29" s="18">
        <f t="shared" si="0"/>
        <v>345263.07</v>
      </c>
      <c r="V29" s="18">
        <f t="shared" si="1"/>
        <v>69052.614000000001</v>
      </c>
      <c r="W29" s="19">
        <f t="shared" si="2"/>
        <v>12</v>
      </c>
      <c r="X29" s="18">
        <f t="shared" si="3"/>
        <v>920.70152000000007</v>
      </c>
      <c r="Y29" s="18">
        <f t="shared" si="4"/>
        <v>11048.418240000001</v>
      </c>
      <c r="Z29" s="18" t="str">
        <f>VLOOKUP($P29,APOIO!$D:$F,3,FALSE())</f>
        <v>1.2.3.8.1.02.01.02.01</v>
      </c>
      <c r="AA29" s="18">
        <f t="shared" si="5"/>
        <v>334214.65175999998</v>
      </c>
    </row>
    <row r="30" spans="1:27" ht="28.5" x14ac:dyDescent="0.2">
      <c r="A30" s="11" t="str">
        <f ca="1">IFERROR(__xludf.dummyfunction("CONCATENATE(""3."",APOIO!$B$2,""."",TEXT(INDEX(SPLIT(INDEX(A:A,ROW()-1,1),"".""),1,3)+1, ""00000""))"),"3.3262.00033")</f>
        <v>3.3262.00033</v>
      </c>
      <c r="B30" s="11" t="s">
        <v>174</v>
      </c>
      <c r="C30" s="11">
        <v>734</v>
      </c>
      <c r="D30" s="11" t="s">
        <v>43</v>
      </c>
      <c r="E30" s="12" t="s">
        <v>175</v>
      </c>
      <c r="F30" s="13">
        <v>43286</v>
      </c>
      <c r="G30" s="34">
        <v>90000</v>
      </c>
      <c r="H30" s="12" t="s">
        <v>87</v>
      </c>
      <c r="I30" s="14" t="s">
        <v>176</v>
      </c>
      <c r="J30" s="11" t="s">
        <v>50</v>
      </c>
      <c r="K30" s="11" t="s">
        <v>51</v>
      </c>
      <c r="L30" s="12" t="str">
        <f>APOIO!$A$2</f>
        <v>EMATER</v>
      </c>
      <c r="M30" s="11">
        <f>APOIO!$B$2</f>
        <v>3262</v>
      </c>
      <c r="N30" s="18">
        <v>90000</v>
      </c>
      <c r="O30" s="17" t="str">
        <f>VLOOKUP($P30,APOIO!$D:$E,2,FALSE())</f>
        <v>1.2.3.2.1.01.02.01.00</v>
      </c>
      <c r="P30" s="12" t="s">
        <v>89</v>
      </c>
      <c r="Q30" s="11" t="s">
        <v>53</v>
      </c>
      <c r="R30" s="18"/>
      <c r="S30" s="18"/>
      <c r="T30" s="18"/>
      <c r="U30" s="18">
        <f t="shared" si="0"/>
        <v>90000</v>
      </c>
      <c r="V30" s="18">
        <f t="shared" si="1"/>
        <v>18000</v>
      </c>
      <c r="W30" s="19">
        <f t="shared" si="2"/>
        <v>12</v>
      </c>
      <c r="X30" s="18">
        <f t="shared" si="3"/>
        <v>240</v>
      </c>
      <c r="Y30" s="18">
        <f t="shared" si="4"/>
        <v>2880</v>
      </c>
      <c r="Z30" s="18" t="str">
        <f>VLOOKUP($P30,APOIO!$D:$F,3,FALSE())</f>
        <v>1.2.3.8.1.02.01.02.01</v>
      </c>
      <c r="AA30" s="18">
        <f t="shared" si="5"/>
        <v>87120</v>
      </c>
    </row>
    <row r="31" spans="1:27" ht="28.5" x14ac:dyDescent="0.2">
      <c r="A31" s="11" t="str">
        <f ca="1">IFERROR(__xludf.dummyfunction("CONCATENATE(""3."",APOIO!$B$2,""."",TEXT(INDEX(SPLIT(INDEX(A:A,ROW()-1,1),"".""),1,3)+1, ""00000""))"),"3.3262.00034")</f>
        <v>3.3262.00034</v>
      </c>
      <c r="B31" s="11" t="s">
        <v>177</v>
      </c>
      <c r="C31" s="11">
        <v>14794</v>
      </c>
      <c r="D31" s="11" t="s">
        <v>43</v>
      </c>
      <c r="E31" s="12" t="s">
        <v>178</v>
      </c>
      <c r="F31" s="13">
        <v>42649</v>
      </c>
      <c r="G31" s="34">
        <v>106252.87</v>
      </c>
      <c r="H31" s="12" t="s">
        <v>87</v>
      </c>
      <c r="I31" s="14" t="s">
        <v>179</v>
      </c>
      <c r="J31" s="11" t="s">
        <v>50</v>
      </c>
      <c r="K31" s="11" t="s">
        <v>97</v>
      </c>
      <c r="L31" s="12" t="str">
        <f>APOIO!$A$2</f>
        <v>EMATER</v>
      </c>
      <c r="M31" s="11">
        <f>APOIO!$B$2</f>
        <v>3262</v>
      </c>
      <c r="N31" s="18">
        <v>106252.87</v>
      </c>
      <c r="O31" s="17" t="str">
        <f>VLOOKUP($P31,APOIO!$D:$E,2,FALSE())</f>
        <v>1.2.3.2.1.01.02.01.00</v>
      </c>
      <c r="P31" s="12" t="s">
        <v>89</v>
      </c>
      <c r="Q31" s="11" t="s">
        <v>53</v>
      </c>
      <c r="R31" s="18"/>
      <c r="S31" s="18"/>
      <c r="T31" s="18"/>
      <c r="U31" s="18">
        <f t="shared" si="0"/>
        <v>106252.87</v>
      </c>
      <c r="V31" s="18">
        <f t="shared" si="1"/>
        <v>21250.574000000001</v>
      </c>
      <c r="W31" s="19">
        <f t="shared" si="2"/>
        <v>12</v>
      </c>
      <c r="X31" s="18">
        <f t="shared" si="3"/>
        <v>283.34098666666665</v>
      </c>
      <c r="Y31" s="18">
        <f t="shared" si="4"/>
        <v>3400.09184</v>
      </c>
      <c r="Z31" s="18" t="str">
        <f>VLOOKUP($P31,APOIO!$D:$F,3,FALSE())</f>
        <v>1.2.3.8.1.02.01.02.01</v>
      </c>
      <c r="AA31" s="18">
        <f t="shared" si="5"/>
        <v>102852.77816</v>
      </c>
    </row>
    <row r="32" spans="1:27" ht="28.5" x14ac:dyDescent="0.2">
      <c r="A32" s="11" t="str">
        <f ca="1">IFERROR(__xludf.dummyfunction("CONCATENATE(""3."",APOIO!$B$2,""."",TEXT(INDEX(SPLIT(INDEX(A:A,ROW()-1,1),"".""),1,3)+1, ""00000""))"),"3.3262.00035")</f>
        <v>3.3262.00035</v>
      </c>
      <c r="B32" s="11" t="s">
        <v>180</v>
      </c>
      <c r="C32" s="11" t="s">
        <v>181</v>
      </c>
      <c r="D32" s="11" t="s">
        <v>43</v>
      </c>
      <c r="E32" s="12" t="s">
        <v>182</v>
      </c>
      <c r="F32" s="13">
        <v>44529</v>
      </c>
      <c r="G32" s="34">
        <v>16094.88</v>
      </c>
      <c r="H32" s="12" t="s">
        <v>87</v>
      </c>
      <c r="I32" s="14" t="s">
        <v>183</v>
      </c>
      <c r="J32" s="11" t="s">
        <v>50</v>
      </c>
      <c r="K32" s="11" t="s">
        <v>51</v>
      </c>
      <c r="L32" s="12" t="str">
        <f>APOIO!$A$2</f>
        <v>EMATER</v>
      </c>
      <c r="M32" s="11">
        <f>APOIO!$B$2</f>
        <v>3262</v>
      </c>
      <c r="N32" s="18">
        <v>16094.88</v>
      </c>
      <c r="O32" s="17" t="str">
        <f>VLOOKUP($P32,APOIO!$D:$E,2,FALSE())</f>
        <v>1.2.3.2.1.01.02.01.00</v>
      </c>
      <c r="P32" s="12" t="s">
        <v>89</v>
      </c>
      <c r="Q32" s="11" t="s">
        <v>53</v>
      </c>
      <c r="R32" s="18"/>
      <c r="S32" s="18"/>
      <c r="T32" s="18"/>
      <c r="U32" s="18">
        <f t="shared" si="0"/>
        <v>16094.88</v>
      </c>
      <c r="V32" s="18">
        <f t="shared" si="1"/>
        <v>3218.9759999999997</v>
      </c>
      <c r="W32" s="19">
        <f t="shared" si="2"/>
        <v>12</v>
      </c>
      <c r="X32" s="18">
        <f t="shared" si="3"/>
        <v>42.91968</v>
      </c>
      <c r="Y32" s="18">
        <f t="shared" si="4"/>
        <v>515.03616</v>
      </c>
      <c r="Z32" s="18" t="str">
        <f>VLOOKUP($P32,APOIO!$D:$F,3,FALSE())</f>
        <v>1.2.3.8.1.02.01.02.01</v>
      </c>
      <c r="AA32" s="18">
        <f t="shared" si="5"/>
        <v>15579.84384</v>
      </c>
    </row>
    <row r="33" spans="1:27" ht="28.5" x14ac:dyDescent="0.2">
      <c r="A33" s="11" t="str">
        <f ca="1">IFERROR(__xludf.dummyfunction("CONCATENATE(""3."",APOIO!$B$2,""."",TEXT(INDEX(SPLIT(INDEX(A:A,ROW()-1,1),"".""),1,3)+1, ""00000""))"),"3.3262.00036")</f>
        <v>3.3262.00036</v>
      </c>
      <c r="B33" s="11" t="s">
        <v>184</v>
      </c>
      <c r="C33" s="11">
        <v>4132</v>
      </c>
      <c r="D33" s="11" t="s">
        <v>43</v>
      </c>
      <c r="E33" s="12" t="s">
        <v>185</v>
      </c>
      <c r="F33" s="13">
        <v>43216</v>
      </c>
      <c r="G33" s="34">
        <v>28201.5</v>
      </c>
      <c r="H33" s="12" t="s">
        <v>87</v>
      </c>
      <c r="I33" s="14" t="s">
        <v>186</v>
      </c>
      <c r="J33" s="11" t="s">
        <v>50</v>
      </c>
      <c r="K33" s="11" t="s">
        <v>51</v>
      </c>
      <c r="L33" s="12" t="str">
        <f>APOIO!$A$2</f>
        <v>EMATER</v>
      </c>
      <c r="M33" s="11">
        <f>APOIO!$B$2</f>
        <v>3262</v>
      </c>
      <c r="N33" s="18">
        <v>28201.5</v>
      </c>
      <c r="O33" s="17" t="str">
        <f>VLOOKUP($P33,APOIO!$D:$E,2,FALSE())</f>
        <v>1.2.3.2.1.01.02.01.00</v>
      </c>
      <c r="P33" s="12" t="s">
        <v>89</v>
      </c>
      <c r="Q33" s="11" t="s">
        <v>53</v>
      </c>
      <c r="R33" s="18"/>
      <c r="S33" s="18"/>
      <c r="T33" s="18"/>
      <c r="U33" s="18">
        <f t="shared" si="0"/>
        <v>28201.5</v>
      </c>
      <c r="V33" s="18">
        <f t="shared" si="1"/>
        <v>5640.3</v>
      </c>
      <c r="W33" s="19">
        <f t="shared" si="2"/>
        <v>12</v>
      </c>
      <c r="X33" s="18">
        <f t="shared" si="3"/>
        <v>75.203999999999994</v>
      </c>
      <c r="Y33" s="18">
        <f t="shared" si="4"/>
        <v>902.44799999999987</v>
      </c>
      <c r="Z33" s="18" t="str">
        <f>VLOOKUP($P33,APOIO!$D:$F,3,FALSE())</f>
        <v>1.2.3.8.1.02.01.02.01</v>
      </c>
      <c r="AA33" s="18">
        <f t="shared" si="5"/>
        <v>27299.052</v>
      </c>
    </row>
    <row r="34" spans="1:27" ht="28.5" x14ac:dyDescent="0.2">
      <c r="A34" s="11" t="str">
        <f ca="1">IFERROR(__xludf.dummyfunction("CONCATENATE(""3."",APOIO!$B$2,""."",TEXT(INDEX(SPLIT(INDEX(A:A,ROW()-1,1),"".""),1,3)+1, ""00000""))"),"3.3262.00037")</f>
        <v>3.3262.00037</v>
      </c>
      <c r="B34" s="11" t="s">
        <v>187</v>
      </c>
      <c r="C34" s="11">
        <v>4872</v>
      </c>
      <c r="D34" s="11" t="s">
        <v>43</v>
      </c>
      <c r="E34" s="12">
        <v>754.64</v>
      </c>
      <c r="F34" s="13">
        <v>43116</v>
      </c>
      <c r="G34" s="34">
        <v>322053.34000000003</v>
      </c>
      <c r="H34" s="12" t="s">
        <v>87</v>
      </c>
      <c r="I34" s="14" t="s">
        <v>188</v>
      </c>
      <c r="J34" s="11" t="s">
        <v>50</v>
      </c>
      <c r="K34" s="11" t="s">
        <v>97</v>
      </c>
      <c r="L34" s="12" t="str">
        <f>APOIO!$A$2</f>
        <v>EMATER</v>
      </c>
      <c r="M34" s="11">
        <f>APOIO!$B$2</f>
        <v>3262</v>
      </c>
      <c r="N34" s="18">
        <v>322053.34000000003</v>
      </c>
      <c r="O34" s="17" t="str">
        <f>VLOOKUP($P34,APOIO!$D:$E,2,FALSE())</f>
        <v>1.2.3.2.1.01.02.01.00</v>
      </c>
      <c r="P34" s="12" t="s">
        <v>89</v>
      </c>
      <c r="Q34" s="11" t="s">
        <v>53</v>
      </c>
      <c r="R34" s="18"/>
      <c r="S34" s="18"/>
      <c r="T34" s="18"/>
      <c r="U34" s="18">
        <f t="shared" ref="U34:U56" si="6">IF(AND($Q34 = "NÃO", OR($N34=0, ISBLANK($N34))),
      $R34+$S34+$T34,
      IF(AND($Q34 = "NÃO", OR($N34 &gt;0, NOT(ISBLANK($N34)))),
           $N34+$T34,
           IF($Q34 = "SIM",
                $R34+$S34
           )
      )
)</f>
        <v>322053.34000000003</v>
      </c>
      <c r="V34" s="18">
        <f t="shared" ref="V34:V56" si="7">IF(OR($O34 = "1.2.3.2.1.99.05.01.00", $O34 = "1.2.3.2.1.99.99.03.00"),
      0,
      IF(AND($Q34 = "NÃO", OR($N34=0, ISBLANK($N34))),
           ($S34+$T34)*20/100,
           IF(AND($Q34 = "NÃO", OR($N34 &gt;0, NOT(ISBLANK($N34)))),
              ($N34+$T34)*20/100,
              IF($Q34="SIM",
                   $S34*20/100
              )
           )
      )
)</f>
        <v>64410.668000000005</v>
      </c>
      <c r="W34" s="19">
        <f t="shared" ref="W34:W56" si="8">IF(OR($O34 = "1.2.3.2.1.99.05.01.00", $O34 = "1.2.3.2.1.99.99.03.00", OR($V34=0, ISBLANK($V34))),
      0,
      IF(AND($Q34 = "NÃO", YEAR($F34) &lt;2022),
          12,
          IF(AND($Q34 = "NÃO", YEAR($F34) &gt;=2022),
               12 - (MONTH($F34)-1),
               IF(AND($Q34 = "SIM", YEAR($F34) &lt;2022),
                  11,
                  IF(AND($Q34 = "SIM", YEAR($F34) &gt;=2022),
                       12 - MONTH($F34)
                  )
               )
          )
      )
)</f>
        <v>12</v>
      </c>
      <c r="X34" s="18">
        <f t="shared" ref="X34:X56" si="9">IF(OR($O34 = "1.2.3.2.1.99.05.01.00", $O34 = "1.2.3.2.1.99.99.03.00"),
      0,
      IF(AND($Q34 = "NÃO", OR($N34=0, ISBLANK($N34))),
           (((((($S34+$T34)-$V34))*4)/100)/12),
           IF(AND($Q34 = "NÃO", OR($N34 &gt;0, NOT(ISBLANK($N34)))),
                ((((($N34+$T34)-$V34)*4)/100)/12),
                IF($Q34="SIM",
                     (((($S34-$V34)*4)/100)/12)
                )
           )
      )
)</f>
        <v>858.80890666666676</v>
      </c>
      <c r="Y34" s="18">
        <f t="shared" ref="Y34:Y56" si="10">W34*X34</f>
        <v>10305.706880000002</v>
      </c>
      <c r="Z34" s="18" t="str">
        <f>VLOOKUP($P34,APOIO!$D:$F,3,FALSE())</f>
        <v>1.2.3.8.1.02.01.02.01</v>
      </c>
      <c r="AA34" s="18">
        <f t="shared" ref="AA34:AA56" si="11">U34-Y34</f>
        <v>311747.63312000001</v>
      </c>
    </row>
    <row r="35" spans="1:27" ht="28.5" x14ac:dyDescent="0.2">
      <c r="A35" s="11" t="str">
        <f ca="1">IFERROR(__xludf.dummyfunction("CONCATENATE(""3."",APOIO!$B$2,""."",TEXT(INDEX(SPLIT(INDEX(A:A,ROW()-1,1),"".""),1,3)+1, ""00000""))"),"3.3262.00038")</f>
        <v>3.3262.00038</v>
      </c>
      <c r="B35" s="11" t="s">
        <v>189</v>
      </c>
      <c r="C35" s="11">
        <v>12874</v>
      </c>
      <c r="D35" s="11" t="s">
        <v>43</v>
      </c>
      <c r="E35" s="12" t="s">
        <v>190</v>
      </c>
      <c r="F35" s="13">
        <v>43248</v>
      </c>
      <c r="G35" s="34">
        <v>94909.26</v>
      </c>
      <c r="H35" s="12" t="s">
        <v>87</v>
      </c>
      <c r="I35" s="14" t="s">
        <v>191</v>
      </c>
      <c r="J35" s="11" t="s">
        <v>50</v>
      </c>
      <c r="K35" s="11" t="s">
        <v>51</v>
      </c>
      <c r="L35" s="12" t="str">
        <f>APOIO!$A$2</f>
        <v>EMATER</v>
      </c>
      <c r="M35" s="11">
        <f>APOIO!$B$2</f>
        <v>3262</v>
      </c>
      <c r="N35" s="18">
        <v>94909.26</v>
      </c>
      <c r="O35" s="17" t="str">
        <f>VLOOKUP($P35,APOIO!$D:$E,2,FALSE())</f>
        <v>1.2.3.2.1.01.02.01.00</v>
      </c>
      <c r="P35" s="12" t="s">
        <v>89</v>
      </c>
      <c r="Q35" s="11" t="s">
        <v>53</v>
      </c>
      <c r="R35" s="18"/>
      <c r="S35" s="18"/>
      <c r="T35" s="18"/>
      <c r="U35" s="18">
        <f t="shared" si="6"/>
        <v>94909.26</v>
      </c>
      <c r="V35" s="18">
        <f t="shared" si="7"/>
        <v>18981.851999999999</v>
      </c>
      <c r="W35" s="19">
        <f t="shared" si="8"/>
        <v>12</v>
      </c>
      <c r="X35" s="18">
        <f t="shared" si="9"/>
        <v>253.09135999999998</v>
      </c>
      <c r="Y35" s="18">
        <f t="shared" si="10"/>
        <v>3037.0963199999997</v>
      </c>
      <c r="Z35" s="18" t="str">
        <f>VLOOKUP($P35,APOIO!$D:$F,3,FALSE())</f>
        <v>1.2.3.8.1.02.01.02.01</v>
      </c>
      <c r="AA35" s="18">
        <f t="shared" si="11"/>
        <v>91872.163679999998</v>
      </c>
    </row>
    <row r="36" spans="1:27" ht="28.5" x14ac:dyDescent="0.2">
      <c r="A36" s="11" t="str">
        <f ca="1">IFERROR(__xludf.dummyfunction("CONCATENATE(""3."",APOIO!$B$2,""."",TEXT(INDEX(SPLIT(INDEX(A:A,ROW()-1,1),"".""),1,3)+1, ""00000""))"),"3.3262.00039")</f>
        <v>3.3262.00039</v>
      </c>
      <c r="B36" s="11" t="s">
        <v>192</v>
      </c>
      <c r="C36" s="11">
        <v>1416</v>
      </c>
      <c r="D36" s="11" t="s">
        <v>43</v>
      </c>
      <c r="E36" s="12" t="s">
        <v>182</v>
      </c>
      <c r="F36" s="13">
        <v>43301</v>
      </c>
      <c r="G36" s="34">
        <v>20940</v>
      </c>
      <c r="H36" s="12" t="s">
        <v>87</v>
      </c>
      <c r="I36" s="14" t="s">
        <v>193</v>
      </c>
      <c r="J36" s="11" t="s">
        <v>50</v>
      </c>
      <c r="K36" s="11" t="s">
        <v>97</v>
      </c>
      <c r="L36" s="12" t="str">
        <f>APOIO!$A$2</f>
        <v>EMATER</v>
      </c>
      <c r="M36" s="11">
        <f>APOIO!$B$2</f>
        <v>3262</v>
      </c>
      <c r="N36" s="18">
        <v>20940</v>
      </c>
      <c r="O36" s="17" t="str">
        <f>VLOOKUP($P36,APOIO!$D:$E,2,FALSE())</f>
        <v>1.2.3.2.1.01.02.01.00</v>
      </c>
      <c r="P36" s="12" t="s">
        <v>89</v>
      </c>
      <c r="Q36" s="11" t="s">
        <v>53</v>
      </c>
      <c r="R36" s="18"/>
      <c r="S36" s="18"/>
      <c r="T36" s="18"/>
      <c r="U36" s="18">
        <f t="shared" si="6"/>
        <v>20940</v>
      </c>
      <c r="V36" s="18">
        <f t="shared" si="7"/>
        <v>4188</v>
      </c>
      <c r="W36" s="19">
        <f t="shared" si="8"/>
        <v>12</v>
      </c>
      <c r="X36" s="18">
        <f t="shared" si="9"/>
        <v>55.84</v>
      </c>
      <c r="Y36" s="18">
        <f t="shared" si="10"/>
        <v>670.08</v>
      </c>
      <c r="Z36" s="18" t="str">
        <f>VLOOKUP($P36,APOIO!$D:$F,3,FALSE())</f>
        <v>1.2.3.8.1.02.01.02.01</v>
      </c>
      <c r="AA36" s="18">
        <f t="shared" si="11"/>
        <v>20269.919999999998</v>
      </c>
    </row>
    <row r="37" spans="1:27" ht="28.5" x14ac:dyDescent="0.2">
      <c r="A37" s="11" t="str">
        <f ca="1">IFERROR(__xludf.dummyfunction("CONCATENATE(""3."",APOIO!$B$2,""."",TEXT(INDEX(SPLIT(INDEX(A:A,ROW()-1,1),"".""),1,3)+1, ""00000""))"),"3.3262.00040")</f>
        <v>3.3262.00040</v>
      </c>
      <c r="B37" s="11" t="s">
        <v>194</v>
      </c>
      <c r="C37" s="11">
        <v>1704</v>
      </c>
      <c r="D37" s="11" t="s">
        <v>43</v>
      </c>
      <c r="E37" s="12" t="s">
        <v>108</v>
      </c>
      <c r="F37" s="13">
        <v>43180</v>
      </c>
      <c r="G37" s="34">
        <v>70727.34</v>
      </c>
      <c r="H37" s="12" t="s">
        <v>87</v>
      </c>
      <c r="I37" s="14" t="s">
        <v>195</v>
      </c>
      <c r="J37" s="11" t="s">
        <v>50</v>
      </c>
      <c r="K37" s="11" t="s">
        <v>97</v>
      </c>
      <c r="L37" s="12" t="str">
        <f>APOIO!$A$2</f>
        <v>EMATER</v>
      </c>
      <c r="M37" s="11">
        <f>APOIO!$B$2</f>
        <v>3262</v>
      </c>
      <c r="N37" s="18">
        <v>70727.34</v>
      </c>
      <c r="O37" s="17" t="str">
        <f>VLOOKUP($P37,APOIO!$D:$E,2,FALSE())</f>
        <v>1.2.3.2.1.01.02.01.00</v>
      </c>
      <c r="P37" s="12" t="s">
        <v>89</v>
      </c>
      <c r="Q37" s="11" t="s">
        <v>53</v>
      </c>
      <c r="R37" s="18"/>
      <c r="S37" s="18"/>
      <c r="T37" s="18"/>
      <c r="U37" s="18">
        <f t="shared" si="6"/>
        <v>70727.34</v>
      </c>
      <c r="V37" s="18">
        <f t="shared" si="7"/>
        <v>14145.467999999999</v>
      </c>
      <c r="W37" s="19">
        <f t="shared" si="8"/>
        <v>12</v>
      </c>
      <c r="X37" s="18">
        <f t="shared" si="9"/>
        <v>188.60623999999999</v>
      </c>
      <c r="Y37" s="18">
        <f t="shared" si="10"/>
        <v>2263.2748799999999</v>
      </c>
      <c r="Z37" s="18" t="str">
        <f>VLOOKUP($P37,APOIO!$D:$F,3,FALSE())</f>
        <v>1.2.3.8.1.02.01.02.01</v>
      </c>
      <c r="AA37" s="18">
        <f t="shared" si="11"/>
        <v>68464.065119999999</v>
      </c>
    </row>
    <row r="38" spans="1:27" ht="28.5" x14ac:dyDescent="0.2">
      <c r="A38" s="11" t="str">
        <f ca="1">IFERROR(__xludf.dummyfunction("CONCATENATE(""3."",APOIO!$B$2,""."",TEXT(INDEX(SPLIT(INDEX(A:A,ROW()-1,1),"".""),1,3)+1, ""00000""))"),"3.3262.00041")</f>
        <v>3.3262.00041</v>
      </c>
      <c r="B38" s="11" t="s">
        <v>196</v>
      </c>
      <c r="C38" s="11">
        <v>1245</v>
      </c>
      <c r="D38" s="11" t="s">
        <v>43</v>
      </c>
      <c r="E38" s="12" t="s">
        <v>197</v>
      </c>
      <c r="F38" s="13">
        <v>43374</v>
      </c>
      <c r="G38" s="34">
        <v>82806.3</v>
      </c>
      <c r="H38" s="12" t="s">
        <v>87</v>
      </c>
      <c r="I38" s="14" t="s">
        <v>198</v>
      </c>
      <c r="J38" s="11" t="s">
        <v>50</v>
      </c>
      <c r="K38" s="11" t="s">
        <v>97</v>
      </c>
      <c r="L38" s="12" t="str">
        <f>APOIO!$A$2</f>
        <v>EMATER</v>
      </c>
      <c r="M38" s="11">
        <f>APOIO!$B$2</f>
        <v>3262</v>
      </c>
      <c r="N38" s="18">
        <v>82806.3</v>
      </c>
      <c r="O38" s="17" t="str">
        <f>VLOOKUP($P38,APOIO!$D:$E,2,FALSE())</f>
        <v>1.2.3.2.1.01.02.01.00</v>
      </c>
      <c r="P38" s="12" t="s">
        <v>89</v>
      </c>
      <c r="Q38" s="11" t="s">
        <v>53</v>
      </c>
      <c r="R38" s="18"/>
      <c r="S38" s="18"/>
      <c r="T38" s="18"/>
      <c r="U38" s="18">
        <f t="shared" si="6"/>
        <v>82806.3</v>
      </c>
      <c r="V38" s="18">
        <f t="shared" si="7"/>
        <v>16561.259999999998</v>
      </c>
      <c r="W38" s="19">
        <f t="shared" si="8"/>
        <v>12</v>
      </c>
      <c r="X38" s="18">
        <f t="shared" si="9"/>
        <v>220.81680000000003</v>
      </c>
      <c r="Y38" s="18">
        <f t="shared" si="10"/>
        <v>2649.8016000000002</v>
      </c>
      <c r="Z38" s="18" t="str">
        <f>VLOOKUP($P38,APOIO!$D:$F,3,FALSE())</f>
        <v>1.2.3.8.1.02.01.02.01</v>
      </c>
      <c r="AA38" s="18">
        <f t="shared" si="11"/>
        <v>80156.498399999997</v>
      </c>
    </row>
    <row r="39" spans="1:27" ht="28.5" x14ac:dyDescent="0.2">
      <c r="A39" s="11" t="str">
        <f ca="1">IFERROR(__xludf.dummyfunction("CONCATENATE(""3."",APOIO!$B$2,""."",TEXT(INDEX(SPLIT(INDEX(A:A,ROW()-1,1),"".""),1,3)+1, ""00000""))"),"3.3262.00042")</f>
        <v>3.3262.00042</v>
      </c>
      <c r="B39" s="11" t="s">
        <v>199</v>
      </c>
      <c r="C39" s="11">
        <v>105</v>
      </c>
      <c r="D39" s="11" t="s">
        <v>43</v>
      </c>
      <c r="E39" s="12" t="s">
        <v>182</v>
      </c>
      <c r="F39" s="13">
        <v>43307</v>
      </c>
      <c r="G39" s="34">
        <v>49730.15</v>
      </c>
      <c r="H39" s="12" t="s">
        <v>87</v>
      </c>
      <c r="I39" s="14" t="s">
        <v>200</v>
      </c>
      <c r="J39" s="11" t="s">
        <v>50</v>
      </c>
      <c r="K39" s="11" t="s">
        <v>97</v>
      </c>
      <c r="L39" s="12" t="str">
        <f>APOIO!$A$2</f>
        <v>EMATER</v>
      </c>
      <c r="M39" s="11">
        <f>APOIO!$B$2</f>
        <v>3262</v>
      </c>
      <c r="N39" s="18">
        <v>49730.15</v>
      </c>
      <c r="O39" s="17" t="str">
        <f>VLOOKUP($P39,APOIO!$D:$E,2,FALSE())</f>
        <v>1.2.3.2.1.01.02.01.00</v>
      </c>
      <c r="P39" s="12" t="s">
        <v>89</v>
      </c>
      <c r="Q39" s="11" t="s">
        <v>53</v>
      </c>
      <c r="R39" s="18"/>
      <c r="S39" s="18"/>
      <c r="T39" s="18"/>
      <c r="U39" s="18">
        <f t="shared" si="6"/>
        <v>49730.15</v>
      </c>
      <c r="V39" s="18">
        <f t="shared" si="7"/>
        <v>9946.0300000000007</v>
      </c>
      <c r="W39" s="19">
        <f t="shared" si="8"/>
        <v>12</v>
      </c>
      <c r="X39" s="18">
        <f t="shared" si="9"/>
        <v>132.61373333333333</v>
      </c>
      <c r="Y39" s="18">
        <f t="shared" si="10"/>
        <v>1591.3647999999998</v>
      </c>
      <c r="Z39" s="18" t="str">
        <f>VLOOKUP($P39,APOIO!$D:$F,3,FALSE())</f>
        <v>1.2.3.8.1.02.01.02.01</v>
      </c>
      <c r="AA39" s="18">
        <f t="shared" si="11"/>
        <v>48138.785199999998</v>
      </c>
    </row>
    <row r="40" spans="1:27" ht="28.5" x14ac:dyDescent="0.2">
      <c r="A40" s="11" t="str">
        <f ca="1">IFERROR(__xludf.dummyfunction("CONCATENATE(""3."",APOIO!$B$2,""."",TEXT(INDEX(SPLIT(INDEX(A:A,ROW()-1,1),"".""),1,3)+1, ""00000""))"),"3.3262.00043")</f>
        <v>3.3262.00043</v>
      </c>
      <c r="B40" s="11" t="s">
        <v>201</v>
      </c>
      <c r="C40" s="11">
        <v>7302</v>
      </c>
      <c r="D40" s="11" t="s">
        <v>43</v>
      </c>
      <c r="E40" s="12" t="s">
        <v>202</v>
      </c>
      <c r="F40" s="13">
        <v>43269</v>
      </c>
      <c r="G40" s="34">
        <v>15372.65</v>
      </c>
      <c r="H40" s="12" t="s">
        <v>87</v>
      </c>
      <c r="I40" s="14" t="s">
        <v>203</v>
      </c>
      <c r="J40" s="11" t="s">
        <v>50</v>
      </c>
      <c r="K40" s="11" t="s">
        <v>97</v>
      </c>
      <c r="L40" s="12" t="str">
        <f>APOIO!$A$2</f>
        <v>EMATER</v>
      </c>
      <c r="M40" s="11">
        <f>APOIO!$B$2</f>
        <v>3262</v>
      </c>
      <c r="N40" s="18">
        <v>15372.65</v>
      </c>
      <c r="O40" s="17" t="str">
        <f>VLOOKUP($P40,APOIO!$D:$E,2,FALSE())</f>
        <v>1.2.3.2.1.01.02.01.00</v>
      </c>
      <c r="P40" s="12" t="s">
        <v>89</v>
      </c>
      <c r="Q40" s="11" t="s">
        <v>53</v>
      </c>
      <c r="R40" s="18"/>
      <c r="S40" s="18"/>
      <c r="T40" s="18"/>
      <c r="U40" s="18">
        <f t="shared" si="6"/>
        <v>15372.65</v>
      </c>
      <c r="V40" s="18">
        <f t="shared" si="7"/>
        <v>3074.53</v>
      </c>
      <c r="W40" s="19">
        <f t="shared" si="8"/>
        <v>12</v>
      </c>
      <c r="X40" s="18">
        <f t="shared" si="9"/>
        <v>40.993733333333331</v>
      </c>
      <c r="Y40" s="18">
        <f t="shared" si="10"/>
        <v>491.9248</v>
      </c>
      <c r="Z40" s="18" t="str">
        <f>VLOOKUP($P40,APOIO!$D:$F,3,FALSE())</f>
        <v>1.2.3.8.1.02.01.02.01</v>
      </c>
      <c r="AA40" s="18">
        <f t="shared" si="11"/>
        <v>14880.725199999999</v>
      </c>
    </row>
    <row r="41" spans="1:27" ht="28.5" x14ac:dyDescent="0.2">
      <c r="A41" s="11" t="str">
        <f ca="1">IFERROR(__xludf.dummyfunction("CONCATENATE(""3."",APOIO!$B$2,""."",TEXT(INDEX(SPLIT(INDEX(A:A,ROW()-1,1),"".""),1,3)+1, ""00000""))"),"3.3262.00044")</f>
        <v>3.3262.00044</v>
      </c>
      <c r="B41" s="11" t="s">
        <v>204</v>
      </c>
      <c r="C41" s="11">
        <v>3392</v>
      </c>
      <c r="D41" s="11" t="s">
        <v>43</v>
      </c>
      <c r="E41" s="12" t="s">
        <v>205</v>
      </c>
      <c r="F41" s="13">
        <v>43265</v>
      </c>
      <c r="G41" s="34">
        <v>56644.63</v>
      </c>
      <c r="H41" s="12" t="s">
        <v>87</v>
      </c>
      <c r="I41" s="14" t="s">
        <v>206</v>
      </c>
      <c r="J41" s="11" t="s">
        <v>50</v>
      </c>
      <c r="K41" s="11" t="s">
        <v>97</v>
      </c>
      <c r="L41" s="12" t="str">
        <f>APOIO!$A$2</f>
        <v>EMATER</v>
      </c>
      <c r="M41" s="11">
        <f>APOIO!$B$2</f>
        <v>3262</v>
      </c>
      <c r="N41" s="18">
        <v>56644.63</v>
      </c>
      <c r="O41" s="17" t="str">
        <f>VLOOKUP($P41,APOIO!$D:$E,2,FALSE())</f>
        <v>1.2.3.2.1.01.02.01.00</v>
      </c>
      <c r="P41" s="12" t="s">
        <v>89</v>
      </c>
      <c r="Q41" s="11" t="s">
        <v>53</v>
      </c>
      <c r="R41" s="18"/>
      <c r="S41" s="18"/>
      <c r="T41" s="18"/>
      <c r="U41" s="18">
        <f t="shared" si="6"/>
        <v>56644.63</v>
      </c>
      <c r="V41" s="18">
        <f t="shared" si="7"/>
        <v>11328.925999999999</v>
      </c>
      <c r="W41" s="19">
        <f t="shared" si="8"/>
        <v>12</v>
      </c>
      <c r="X41" s="18">
        <f t="shared" si="9"/>
        <v>151.05234666666666</v>
      </c>
      <c r="Y41" s="18">
        <f t="shared" si="10"/>
        <v>1812.62816</v>
      </c>
      <c r="Z41" s="18" t="str">
        <f>VLOOKUP($P41,APOIO!$D:$F,3,FALSE())</f>
        <v>1.2.3.8.1.02.01.02.01</v>
      </c>
      <c r="AA41" s="18">
        <f t="shared" si="11"/>
        <v>54832.001839999997</v>
      </c>
    </row>
    <row r="42" spans="1:27" ht="28.5" x14ac:dyDescent="0.2">
      <c r="A42" s="11" t="str">
        <f ca="1">IFERROR(__xludf.dummyfunction("CONCATENATE(""3."",APOIO!$B$2,""."",TEXT(INDEX(SPLIT(INDEX(A:A,ROW()-1,1),"".""),1,3)+1, ""00000""))"),"3.3262.00045")</f>
        <v>3.3262.00045</v>
      </c>
      <c r="B42" s="11" t="s">
        <v>207</v>
      </c>
      <c r="C42" s="11">
        <v>714</v>
      </c>
      <c r="D42" s="11" t="s">
        <v>43</v>
      </c>
      <c r="E42" s="12" t="s">
        <v>208</v>
      </c>
      <c r="F42" s="13">
        <v>43280</v>
      </c>
      <c r="G42" s="34">
        <v>8000</v>
      </c>
      <c r="H42" s="12" t="s">
        <v>87</v>
      </c>
      <c r="I42" s="14" t="s">
        <v>209</v>
      </c>
      <c r="J42" s="11" t="s">
        <v>50</v>
      </c>
      <c r="K42" s="11" t="s">
        <v>97</v>
      </c>
      <c r="L42" s="12"/>
      <c r="M42" s="11"/>
      <c r="N42" s="18">
        <v>8000</v>
      </c>
      <c r="O42" s="17"/>
      <c r="P42" s="12" t="s">
        <v>89</v>
      </c>
      <c r="Q42" s="11" t="s">
        <v>53</v>
      </c>
      <c r="R42" s="18"/>
      <c r="S42" s="18"/>
      <c r="T42" s="18"/>
      <c r="U42" s="18">
        <f t="shared" si="6"/>
        <v>8000</v>
      </c>
      <c r="V42" s="18">
        <f t="shared" si="7"/>
        <v>1600</v>
      </c>
      <c r="W42" s="19">
        <f t="shared" si="8"/>
        <v>12</v>
      </c>
      <c r="X42" s="18">
        <f t="shared" si="9"/>
        <v>21.333333333333332</v>
      </c>
      <c r="Y42" s="18">
        <f t="shared" si="10"/>
        <v>256</v>
      </c>
      <c r="Z42" s="18" t="str">
        <f>VLOOKUP($P42,APOIO!$D:$F,3,FALSE())</f>
        <v>1.2.3.8.1.02.01.02.01</v>
      </c>
      <c r="AA42" s="18">
        <f t="shared" si="11"/>
        <v>7744</v>
      </c>
    </row>
    <row r="43" spans="1:27" ht="28.5" x14ac:dyDescent="0.2">
      <c r="A43" s="11" t="str">
        <f ca="1">IFERROR(__xludf.dummyfunction("CONCATENATE(""3."",APOIO!$B$2,""."",TEXT(INDEX(SPLIT(INDEX(A:A,ROW()-1,1),"".""),1,3)+1, ""00000""))"),"3.3262.00046")</f>
        <v>3.3262.00046</v>
      </c>
      <c r="B43" s="11" t="s">
        <v>210</v>
      </c>
      <c r="C43" s="11">
        <v>1353</v>
      </c>
      <c r="D43" s="11" t="s">
        <v>43</v>
      </c>
      <c r="E43" s="12" t="s">
        <v>211</v>
      </c>
      <c r="F43" s="13">
        <v>43179</v>
      </c>
      <c r="G43" s="34">
        <v>10235</v>
      </c>
      <c r="H43" s="12" t="s">
        <v>87</v>
      </c>
      <c r="I43" s="14" t="s">
        <v>212</v>
      </c>
      <c r="J43" s="11" t="s">
        <v>50</v>
      </c>
      <c r="K43" s="11" t="s">
        <v>97</v>
      </c>
      <c r="L43" s="12"/>
      <c r="M43" s="11"/>
      <c r="N43" s="18">
        <v>10235</v>
      </c>
      <c r="O43" s="17"/>
      <c r="P43" s="12" t="s">
        <v>89</v>
      </c>
      <c r="Q43" s="11" t="s">
        <v>53</v>
      </c>
      <c r="R43" s="18"/>
      <c r="S43" s="18"/>
      <c r="T43" s="18"/>
      <c r="U43" s="18">
        <f t="shared" si="6"/>
        <v>10235</v>
      </c>
      <c r="V43" s="18">
        <f t="shared" si="7"/>
        <v>2047</v>
      </c>
      <c r="W43" s="19">
        <f t="shared" si="8"/>
        <v>12</v>
      </c>
      <c r="X43" s="18">
        <f t="shared" si="9"/>
        <v>27.293333333333333</v>
      </c>
      <c r="Y43" s="18">
        <f t="shared" si="10"/>
        <v>327.52</v>
      </c>
      <c r="Z43" s="18" t="str">
        <f>VLOOKUP($P43,APOIO!$D:$F,3,FALSE())</f>
        <v>1.2.3.8.1.02.01.02.01</v>
      </c>
      <c r="AA43" s="18">
        <f t="shared" si="11"/>
        <v>9907.48</v>
      </c>
    </row>
    <row r="44" spans="1:27" ht="28.5" x14ac:dyDescent="0.2">
      <c r="A44" s="11" t="str">
        <f ca="1">IFERROR(__xludf.dummyfunction("CONCATENATE(""3."",APOIO!$B$2,""."",TEXT(INDEX(SPLIT(INDEX(A:A,ROW()-1,1),"".""),1,3)+1, ""00000""))"),"3.3262.00047")</f>
        <v>3.3262.00047</v>
      </c>
      <c r="B44" s="11" t="s">
        <v>58</v>
      </c>
      <c r="C44" s="11">
        <v>12046</v>
      </c>
      <c r="D44" s="11" t="s">
        <v>43</v>
      </c>
      <c r="E44" s="12" t="s">
        <v>213</v>
      </c>
      <c r="F44" s="13">
        <v>43363</v>
      </c>
      <c r="G44" s="34">
        <v>31266.36</v>
      </c>
      <c r="H44" s="12" t="s">
        <v>87</v>
      </c>
      <c r="I44" s="14" t="s">
        <v>214</v>
      </c>
      <c r="J44" s="11" t="s">
        <v>50</v>
      </c>
      <c r="K44" s="11" t="s">
        <v>97</v>
      </c>
      <c r="L44" s="12"/>
      <c r="M44" s="11"/>
      <c r="N44" s="18">
        <v>31266.36</v>
      </c>
      <c r="O44" s="17"/>
      <c r="P44" s="12" t="s">
        <v>89</v>
      </c>
      <c r="Q44" s="11" t="s">
        <v>53</v>
      </c>
      <c r="R44" s="18"/>
      <c r="S44" s="18"/>
      <c r="T44" s="18"/>
      <c r="U44" s="18">
        <f t="shared" si="6"/>
        <v>31266.36</v>
      </c>
      <c r="V44" s="18">
        <f t="shared" si="7"/>
        <v>6253.2719999999999</v>
      </c>
      <c r="W44" s="19">
        <f t="shared" si="8"/>
        <v>12</v>
      </c>
      <c r="X44" s="18">
        <f t="shared" si="9"/>
        <v>83.376959999999997</v>
      </c>
      <c r="Y44" s="18">
        <f t="shared" si="10"/>
        <v>1000.52352</v>
      </c>
      <c r="Z44" s="18" t="str">
        <f>VLOOKUP($P44,APOIO!$D:$F,3,FALSE())</f>
        <v>1.2.3.8.1.02.01.02.01</v>
      </c>
      <c r="AA44" s="18">
        <f t="shared" si="11"/>
        <v>30265.836480000002</v>
      </c>
    </row>
    <row r="45" spans="1:27" ht="28.5" x14ac:dyDescent="0.2">
      <c r="A45" s="11" t="str">
        <f ca="1">IFERROR(__xludf.dummyfunction("CONCATENATE(""3."",APOIO!$B$2,""."",TEXT(INDEX(SPLIT(INDEX(A:A,ROW()-1,1),"".""),1,3)+1, ""00000""))"),"3.3262.00049")</f>
        <v>3.3262.00049</v>
      </c>
      <c r="B45" s="11" t="s">
        <v>215</v>
      </c>
      <c r="C45" s="11">
        <v>619</v>
      </c>
      <c r="D45" s="11" t="s">
        <v>43</v>
      </c>
      <c r="E45" s="12" t="s">
        <v>216</v>
      </c>
      <c r="F45" s="13">
        <v>43116</v>
      </c>
      <c r="G45" s="34">
        <v>24352.76</v>
      </c>
      <c r="H45" s="12" t="s">
        <v>129</v>
      </c>
      <c r="I45" s="14" t="s">
        <v>217</v>
      </c>
      <c r="J45" s="11" t="s">
        <v>50</v>
      </c>
      <c r="K45" s="11" t="s">
        <v>97</v>
      </c>
      <c r="L45" s="12"/>
      <c r="M45" s="11"/>
      <c r="N45" s="18">
        <v>24352.76</v>
      </c>
      <c r="O45" s="17"/>
      <c r="P45" s="12" t="s">
        <v>89</v>
      </c>
      <c r="Q45" s="11" t="s">
        <v>53</v>
      </c>
      <c r="R45" s="18"/>
      <c r="S45" s="18"/>
      <c r="T45" s="18"/>
      <c r="U45" s="18">
        <f t="shared" si="6"/>
        <v>24352.76</v>
      </c>
      <c r="V45" s="18">
        <f t="shared" si="7"/>
        <v>4870.5519999999997</v>
      </c>
      <c r="W45" s="19">
        <f t="shared" si="8"/>
        <v>12</v>
      </c>
      <c r="X45" s="18">
        <f t="shared" si="9"/>
        <v>64.940693333333328</v>
      </c>
      <c r="Y45" s="18">
        <f t="shared" si="10"/>
        <v>779.28831999999989</v>
      </c>
      <c r="Z45" s="18" t="str">
        <f>VLOOKUP($P45,APOIO!$D:$F,3,FALSE())</f>
        <v>1.2.3.8.1.02.01.02.01</v>
      </c>
      <c r="AA45" s="18">
        <f t="shared" si="11"/>
        <v>23573.471679999999</v>
      </c>
    </row>
    <row r="46" spans="1:27" ht="28.5" x14ac:dyDescent="0.2">
      <c r="A46" s="11" t="str">
        <f ca="1">IFERROR(__xludf.dummyfunction("CONCATENATE(""3."",APOIO!$B$2,""."",TEXT(INDEX(SPLIT(INDEX(A:A,ROW()-1,1),"".""),1,3)+1, ""00000""))"),"3.3262.00050")</f>
        <v>3.3262.00050</v>
      </c>
      <c r="B46" s="11" t="s">
        <v>218</v>
      </c>
      <c r="C46" s="11">
        <v>7968</v>
      </c>
      <c r="D46" s="11" t="s">
        <v>43</v>
      </c>
      <c r="E46" s="12" t="s">
        <v>219</v>
      </c>
      <c r="F46" s="13">
        <v>43322</v>
      </c>
      <c r="G46" s="34">
        <v>26697.11</v>
      </c>
      <c r="H46" s="12" t="s">
        <v>129</v>
      </c>
      <c r="I46" s="14" t="s">
        <v>220</v>
      </c>
      <c r="J46" s="11" t="s">
        <v>50</v>
      </c>
      <c r="K46" s="11" t="s">
        <v>97</v>
      </c>
      <c r="L46" s="12"/>
      <c r="M46" s="11"/>
      <c r="N46" s="18">
        <v>26697.11</v>
      </c>
      <c r="O46" s="17"/>
      <c r="P46" s="12" t="s">
        <v>89</v>
      </c>
      <c r="Q46" s="11" t="s">
        <v>53</v>
      </c>
      <c r="R46" s="18"/>
      <c r="S46" s="18"/>
      <c r="T46" s="18"/>
      <c r="U46" s="18">
        <f t="shared" si="6"/>
        <v>26697.11</v>
      </c>
      <c r="V46" s="18">
        <f t="shared" si="7"/>
        <v>5339.4219999999996</v>
      </c>
      <c r="W46" s="19">
        <f t="shared" si="8"/>
        <v>12</v>
      </c>
      <c r="X46" s="18">
        <f t="shared" si="9"/>
        <v>71.192293333333339</v>
      </c>
      <c r="Y46" s="18">
        <f t="shared" si="10"/>
        <v>854.30752000000007</v>
      </c>
      <c r="Z46" s="18" t="str">
        <f>VLOOKUP($P46,APOIO!$D:$F,3,FALSE())</f>
        <v>1.2.3.8.1.02.01.02.01</v>
      </c>
      <c r="AA46" s="18">
        <f t="shared" si="11"/>
        <v>25842.802480000002</v>
      </c>
    </row>
    <row r="47" spans="1:27" ht="28.5" x14ac:dyDescent="0.2">
      <c r="A47" s="11" t="str">
        <f ca="1">IFERROR(__xludf.dummyfunction("CONCATENATE(""3."",APOIO!$B$2,""."",TEXT(INDEX(SPLIT(INDEX(A:A,ROW()-1,1),"".""),1,3)+1, ""00000""))"),"3.3262.00051")</f>
        <v>3.3262.00051</v>
      </c>
      <c r="B47" s="11" t="s">
        <v>221</v>
      </c>
      <c r="C47" s="11">
        <v>1015</v>
      </c>
      <c r="D47" s="11" t="s">
        <v>43</v>
      </c>
      <c r="E47" s="12" t="s">
        <v>117</v>
      </c>
      <c r="F47" s="13">
        <v>43305</v>
      </c>
      <c r="G47" s="34">
        <v>4066.29</v>
      </c>
      <c r="H47" s="12" t="s">
        <v>87</v>
      </c>
      <c r="I47" s="14" t="s">
        <v>222</v>
      </c>
      <c r="J47" s="11" t="s">
        <v>50</v>
      </c>
      <c r="K47" s="11" t="s">
        <v>97</v>
      </c>
      <c r="L47" s="12"/>
      <c r="M47" s="11"/>
      <c r="N47" s="18">
        <v>4066.29</v>
      </c>
      <c r="O47" s="17"/>
      <c r="P47" s="12" t="s">
        <v>89</v>
      </c>
      <c r="Q47" s="11" t="s">
        <v>53</v>
      </c>
      <c r="R47" s="18"/>
      <c r="S47" s="18"/>
      <c r="T47" s="18"/>
      <c r="U47" s="18">
        <f t="shared" si="6"/>
        <v>4066.29</v>
      </c>
      <c r="V47" s="18">
        <f t="shared" si="7"/>
        <v>813.25800000000004</v>
      </c>
      <c r="W47" s="19">
        <f t="shared" si="8"/>
        <v>12</v>
      </c>
      <c r="X47" s="18">
        <f t="shared" si="9"/>
        <v>10.843440000000001</v>
      </c>
      <c r="Y47" s="18">
        <f t="shared" si="10"/>
        <v>130.12128000000001</v>
      </c>
      <c r="Z47" s="18" t="str">
        <f>VLOOKUP($P47,APOIO!$D:$F,3,FALSE())</f>
        <v>1.2.3.8.1.02.01.02.01</v>
      </c>
      <c r="AA47" s="18">
        <f t="shared" si="11"/>
        <v>3936.1687200000001</v>
      </c>
    </row>
    <row r="48" spans="1:27" ht="28.5" x14ac:dyDescent="0.2">
      <c r="A48" s="11" t="str">
        <f ca="1">IFERROR(__xludf.dummyfunction("CONCATENATE(""3."",APOIO!$B$2,""."",TEXT(INDEX(SPLIT(INDEX(A:A,ROW()-1,1),"".""),1,3)+1, ""00000""))"),"3.3262.00052")</f>
        <v>3.3262.00052</v>
      </c>
      <c r="B48" s="11" t="s">
        <v>223</v>
      </c>
      <c r="C48" s="11">
        <v>9388</v>
      </c>
      <c r="D48" s="11" t="s">
        <v>43</v>
      </c>
      <c r="E48" s="12" t="s">
        <v>224</v>
      </c>
      <c r="F48" s="13">
        <v>43480</v>
      </c>
      <c r="G48" s="34">
        <v>481081.71</v>
      </c>
      <c r="H48" s="12" t="s">
        <v>129</v>
      </c>
      <c r="I48" s="14" t="s">
        <v>225</v>
      </c>
      <c r="J48" s="11" t="s">
        <v>50</v>
      </c>
      <c r="K48" s="11" t="s">
        <v>97</v>
      </c>
      <c r="L48" s="12"/>
      <c r="M48" s="11"/>
      <c r="N48" s="18">
        <v>481081.71</v>
      </c>
      <c r="O48" s="17"/>
      <c r="P48" s="12" t="s">
        <v>89</v>
      </c>
      <c r="Q48" s="11" t="s">
        <v>53</v>
      </c>
      <c r="R48" s="18"/>
      <c r="S48" s="18"/>
      <c r="T48" s="18"/>
      <c r="U48" s="18">
        <f t="shared" si="6"/>
        <v>481081.71</v>
      </c>
      <c r="V48" s="18">
        <f t="shared" si="7"/>
        <v>96216.342000000004</v>
      </c>
      <c r="W48" s="19">
        <f t="shared" si="8"/>
        <v>12</v>
      </c>
      <c r="X48" s="18">
        <f t="shared" si="9"/>
        <v>1282.8845600000002</v>
      </c>
      <c r="Y48" s="18">
        <f t="shared" si="10"/>
        <v>15394.614720000001</v>
      </c>
      <c r="Z48" s="18" t="str">
        <f>VLOOKUP($P48,APOIO!$D:$F,3,FALSE())</f>
        <v>1.2.3.8.1.02.01.02.01</v>
      </c>
      <c r="AA48" s="18">
        <f t="shared" si="11"/>
        <v>465687.09528000001</v>
      </c>
    </row>
    <row r="49" spans="1:27" ht="28.5" x14ac:dyDescent="0.2">
      <c r="A49" s="11" t="str">
        <f ca="1">IFERROR(__xludf.dummyfunction("CONCATENATE(""3."",APOIO!$B$2,""."",TEXT(INDEX(SPLIT(INDEX(A:A,ROW()-1,1),"".""),1,3)+1, ""00000""))"),"3.3262.00053")</f>
        <v>3.3262.00053</v>
      </c>
      <c r="B49" s="11" t="s">
        <v>226</v>
      </c>
      <c r="C49" s="11">
        <v>2059</v>
      </c>
      <c r="D49" s="11" t="s">
        <v>43</v>
      </c>
      <c r="E49" s="12" t="s">
        <v>227</v>
      </c>
      <c r="F49" s="13">
        <v>43297</v>
      </c>
      <c r="G49" s="34">
        <v>9263.19</v>
      </c>
      <c r="H49" s="12" t="s">
        <v>87</v>
      </c>
      <c r="I49" s="14" t="s">
        <v>228</v>
      </c>
      <c r="J49" s="11" t="s">
        <v>50</v>
      </c>
      <c r="K49" s="11" t="s">
        <v>51</v>
      </c>
      <c r="L49" s="12"/>
      <c r="M49" s="11"/>
      <c r="N49" s="18">
        <v>9263.19</v>
      </c>
      <c r="O49" s="17"/>
      <c r="P49" s="12" t="s">
        <v>89</v>
      </c>
      <c r="Q49" s="11" t="s">
        <v>53</v>
      </c>
      <c r="R49" s="18"/>
      <c r="S49" s="18"/>
      <c r="T49" s="18"/>
      <c r="U49" s="18">
        <f t="shared" si="6"/>
        <v>9263.19</v>
      </c>
      <c r="V49" s="18">
        <f t="shared" si="7"/>
        <v>1852.6380000000001</v>
      </c>
      <c r="W49" s="19">
        <f t="shared" si="8"/>
        <v>12</v>
      </c>
      <c r="X49" s="18">
        <f t="shared" si="9"/>
        <v>24.701840000000004</v>
      </c>
      <c r="Y49" s="18">
        <f t="shared" si="10"/>
        <v>296.42208000000005</v>
      </c>
      <c r="Z49" s="18" t="str">
        <f>VLOOKUP($P49,APOIO!$D:$F,3,FALSE())</f>
        <v>1.2.3.8.1.02.01.02.01</v>
      </c>
      <c r="AA49" s="18">
        <f t="shared" si="11"/>
        <v>8966.7679200000002</v>
      </c>
    </row>
    <row r="50" spans="1:27" ht="28.5" x14ac:dyDescent="0.2">
      <c r="A50" s="11" t="str">
        <f ca="1">IFERROR(__xludf.dummyfunction("CONCATENATE(""3."",APOIO!$B$2,""."",TEXT(INDEX(SPLIT(INDEX(A:A,ROW()-1,1),"".""),1,3)+1, ""00000""))"),"3.3262.00054")</f>
        <v>3.3262.00054</v>
      </c>
      <c r="B50" s="11" t="s">
        <v>229</v>
      </c>
      <c r="C50" s="11">
        <v>552</v>
      </c>
      <c r="D50" s="11" t="s">
        <v>43</v>
      </c>
      <c r="E50" s="12" t="s">
        <v>230</v>
      </c>
      <c r="F50" s="13">
        <v>44490</v>
      </c>
      <c r="G50" s="34">
        <v>56700</v>
      </c>
      <c r="H50" s="12" t="s">
        <v>87</v>
      </c>
      <c r="I50" s="14" t="s">
        <v>231</v>
      </c>
      <c r="J50" s="11" t="s">
        <v>50</v>
      </c>
      <c r="K50" s="11" t="s">
        <v>97</v>
      </c>
      <c r="L50" s="12"/>
      <c r="M50" s="11"/>
      <c r="N50" s="18">
        <v>56700</v>
      </c>
      <c r="O50" s="17"/>
      <c r="P50" s="12" t="s">
        <v>89</v>
      </c>
      <c r="Q50" s="11" t="s">
        <v>53</v>
      </c>
      <c r="R50" s="18"/>
      <c r="S50" s="18"/>
      <c r="T50" s="18"/>
      <c r="U50" s="18">
        <f t="shared" si="6"/>
        <v>56700</v>
      </c>
      <c r="V50" s="18">
        <f t="shared" si="7"/>
        <v>11340</v>
      </c>
      <c r="W50" s="19">
        <f t="shared" si="8"/>
        <v>12</v>
      </c>
      <c r="X50" s="18">
        <f t="shared" si="9"/>
        <v>151.20000000000002</v>
      </c>
      <c r="Y50" s="18">
        <f t="shared" si="10"/>
        <v>1814.4</v>
      </c>
      <c r="Z50" s="18" t="str">
        <f>VLOOKUP($P50,APOIO!$D:$F,3,FALSE())</f>
        <v>1.2.3.8.1.02.01.02.01</v>
      </c>
      <c r="AA50" s="18">
        <f t="shared" si="11"/>
        <v>54885.599999999999</v>
      </c>
    </row>
    <row r="51" spans="1:27" ht="28.5" x14ac:dyDescent="0.2">
      <c r="A51" s="11" t="str">
        <f ca="1">IFERROR(__xludf.dummyfunction("CONCATENATE(""3."",APOIO!$B$2,""."",TEXT(INDEX(SPLIT(INDEX(A:A,ROW()-1,1),"".""),1,3)+1, ""00000""))"),"3.3262.00055")</f>
        <v>3.3262.00055</v>
      </c>
      <c r="B51" s="11" t="s">
        <v>232</v>
      </c>
      <c r="C51" s="11">
        <v>7264</v>
      </c>
      <c r="D51" s="11" t="s">
        <v>43</v>
      </c>
      <c r="E51" s="12" t="s">
        <v>233</v>
      </c>
      <c r="F51" s="13">
        <v>43361</v>
      </c>
      <c r="G51" s="34">
        <v>117343.59</v>
      </c>
      <c r="H51" s="12" t="s">
        <v>87</v>
      </c>
      <c r="I51" s="14" t="s">
        <v>234</v>
      </c>
      <c r="J51" s="11" t="s">
        <v>50</v>
      </c>
      <c r="K51" s="11" t="s">
        <v>51</v>
      </c>
      <c r="L51" s="12"/>
      <c r="M51" s="11"/>
      <c r="N51" s="18">
        <v>117343.59</v>
      </c>
      <c r="O51" s="17"/>
      <c r="P51" s="12" t="s">
        <v>89</v>
      </c>
      <c r="Q51" s="11" t="s">
        <v>53</v>
      </c>
      <c r="R51" s="18"/>
      <c r="S51" s="18"/>
      <c r="T51" s="18"/>
      <c r="U51" s="18">
        <f t="shared" si="6"/>
        <v>117343.59</v>
      </c>
      <c r="V51" s="18">
        <f t="shared" si="7"/>
        <v>23468.717999999997</v>
      </c>
      <c r="W51" s="19">
        <f t="shared" si="8"/>
        <v>12</v>
      </c>
      <c r="X51" s="18">
        <f t="shared" si="9"/>
        <v>312.91624000000002</v>
      </c>
      <c r="Y51" s="18">
        <f t="shared" si="10"/>
        <v>3754.9948800000002</v>
      </c>
      <c r="Z51" s="18" t="str">
        <f>VLOOKUP($P51,APOIO!$D:$F,3,FALSE())</f>
        <v>1.2.3.8.1.02.01.02.01</v>
      </c>
      <c r="AA51" s="18">
        <f t="shared" si="11"/>
        <v>113588.59512</v>
      </c>
    </row>
    <row r="52" spans="1:27" ht="28.5" x14ac:dyDescent="0.2">
      <c r="A52" s="11" t="str">
        <f ca="1">IFERROR(__xludf.dummyfunction("CONCATENATE(""3."",APOIO!$B$2,""."",TEXT(INDEX(SPLIT(INDEX(A:A,ROW()-1,1),"".""),1,3)+1, ""00000""))"),"3.3262.00056")</f>
        <v>3.3262.00056</v>
      </c>
      <c r="B52" s="11" t="s">
        <v>235</v>
      </c>
      <c r="C52" s="11">
        <v>2736</v>
      </c>
      <c r="D52" s="11" t="s">
        <v>43</v>
      </c>
      <c r="E52" s="12" t="s">
        <v>236</v>
      </c>
      <c r="F52" s="13">
        <v>43255</v>
      </c>
      <c r="G52" s="34">
        <v>196103.33</v>
      </c>
      <c r="H52" s="12" t="s">
        <v>87</v>
      </c>
      <c r="I52" s="14" t="s">
        <v>237</v>
      </c>
      <c r="J52" s="11" t="s">
        <v>50</v>
      </c>
      <c r="K52" s="11" t="s">
        <v>97</v>
      </c>
      <c r="L52" s="12"/>
      <c r="M52" s="11"/>
      <c r="N52" s="18">
        <v>196103.03</v>
      </c>
      <c r="O52" s="17"/>
      <c r="P52" s="12" t="s">
        <v>89</v>
      </c>
      <c r="Q52" s="11" t="s">
        <v>53</v>
      </c>
      <c r="R52" s="18"/>
      <c r="S52" s="18"/>
      <c r="T52" s="18"/>
      <c r="U52" s="18">
        <f t="shared" si="6"/>
        <v>196103.03</v>
      </c>
      <c r="V52" s="18">
        <f t="shared" si="7"/>
        <v>39220.606</v>
      </c>
      <c r="W52" s="19">
        <f t="shared" si="8"/>
        <v>12</v>
      </c>
      <c r="X52" s="18">
        <f t="shared" si="9"/>
        <v>522.94141333333334</v>
      </c>
      <c r="Y52" s="18">
        <f t="shared" si="10"/>
        <v>6275.2969599999997</v>
      </c>
      <c r="Z52" s="18" t="str">
        <f>VLOOKUP($P52,APOIO!$D:$F,3,FALSE())</f>
        <v>1.2.3.8.1.02.01.02.01</v>
      </c>
      <c r="AA52" s="18">
        <f t="shared" si="11"/>
        <v>189827.73303999999</v>
      </c>
    </row>
    <row r="53" spans="1:27" ht="28.5" x14ac:dyDescent="0.2">
      <c r="A53" s="11" t="str">
        <f ca="1">IFERROR(__xludf.dummyfunction("CONCATENATE(""3."",APOIO!$B$2,""."",TEXT(INDEX(SPLIT(INDEX(A:A,ROW()-1,1),"".""),1,3)+1, ""00000""))"),"3.3262.00057")</f>
        <v>3.3262.00057</v>
      </c>
      <c r="B53" s="11" t="s">
        <v>238</v>
      </c>
      <c r="C53" s="11">
        <v>32210</v>
      </c>
      <c r="D53" s="11" t="s">
        <v>43</v>
      </c>
      <c r="E53" s="12" t="s">
        <v>111</v>
      </c>
      <c r="F53" s="13">
        <v>43495</v>
      </c>
      <c r="G53" s="34">
        <v>72314.37</v>
      </c>
      <c r="H53" s="12" t="s">
        <v>87</v>
      </c>
      <c r="I53" s="14" t="s">
        <v>239</v>
      </c>
      <c r="J53" s="11" t="s">
        <v>50</v>
      </c>
      <c r="K53" s="11" t="s">
        <v>97</v>
      </c>
      <c r="L53" s="12"/>
      <c r="M53" s="11"/>
      <c r="N53" s="18">
        <v>72314.37</v>
      </c>
      <c r="O53" s="17"/>
      <c r="P53" s="12" t="s">
        <v>89</v>
      </c>
      <c r="Q53" s="11" t="s">
        <v>53</v>
      </c>
      <c r="R53" s="18"/>
      <c r="S53" s="18"/>
      <c r="T53" s="18"/>
      <c r="U53" s="18">
        <f t="shared" si="6"/>
        <v>72314.37</v>
      </c>
      <c r="V53" s="18">
        <f t="shared" si="7"/>
        <v>14462.874</v>
      </c>
      <c r="W53" s="19">
        <f t="shared" si="8"/>
        <v>12</v>
      </c>
      <c r="X53" s="18">
        <f t="shared" si="9"/>
        <v>192.83831999999998</v>
      </c>
      <c r="Y53" s="18">
        <f t="shared" si="10"/>
        <v>2314.0598399999999</v>
      </c>
      <c r="Z53" s="18" t="str">
        <f>VLOOKUP($P53,APOIO!$D:$F,3,FALSE())</f>
        <v>1.2.3.8.1.02.01.02.01</v>
      </c>
      <c r="AA53" s="18">
        <f t="shared" si="11"/>
        <v>70000.310159999994</v>
      </c>
    </row>
    <row r="54" spans="1:27" ht="28.5" x14ac:dyDescent="0.2">
      <c r="A54" s="11" t="str">
        <f ca="1">IFERROR(__xludf.dummyfunction("CONCATENATE(""3."",APOIO!$B$2,""."",TEXT(INDEX(SPLIT(INDEX(A:A,ROW()-1,1),"".""),1,3)+1, ""00000""))"),"3.3262.00058")</f>
        <v>3.3262.00058</v>
      </c>
      <c r="B54" s="11" t="s">
        <v>240</v>
      </c>
      <c r="C54" s="11">
        <v>1554</v>
      </c>
      <c r="D54" s="11" t="s">
        <v>43</v>
      </c>
      <c r="E54" s="12" t="s">
        <v>241</v>
      </c>
      <c r="F54" s="13">
        <v>43432</v>
      </c>
      <c r="G54" s="34">
        <v>80000</v>
      </c>
      <c r="H54" s="12" t="s">
        <v>87</v>
      </c>
      <c r="I54" s="14" t="s">
        <v>242</v>
      </c>
      <c r="J54" s="11" t="s">
        <v>50</v>
      </c>
      <c r="K54" s="11" t="s">
        <v>97</v>
      </c>
      <c r="L54" s="12"/>
      <c r="M54" s="11"/>
      <c r="N54" s="18">
        <v>80000</v>
      </c>
      <c r="O54" s="17"/>
      <c r="P54" s="12" t="s">
        <v>89</v>
      </c>
      <c r="Q54" s="11" t="s">
        <v>53</v>
      </c>
      <c r="R54" s="18"/>
      <c r="S54" s="18"/>
      <c r="T54" s="18"/>
      <c r="U54" s="18">
        <f t="shared" si="6"/>
        <v>80000</v>
      </c>
      <c r="V54" s="18">
        <f t="shared" si="7"/>
        <v>16000</v>
      </c>
      <c r="W54" s="19">
        <f t="shared" si="8"/>
        <v>12</v>
      </c>
      <c r="X54" s="18">
        <f t="shared" si="9"/>
        <v>213.33333333333334</v>
      </c>
      <c r="Y54" s="18">
        <f t="shared" si="10"/>
        <v>2560</v>
      </c>
      <c r="Z54" s="18" t="str">
        <f>VLOOKUP($P54,APOIO!$D:$F,3,FALSE())</f>
        <v>1.2.3.8.1.02.01.02.01</v>
      </c>
      <c r="AA54" s="18">
        <f t="shared" si="11"/>
        <v>77440</v>
      </c>
    </row>
    <row r="55" spans="1:27" ht="28.5" x14ac:dyDescent="0.2">
      <c r="A55" s="11" t="str">
        <f ca="1">IFERROR(__xludf.dummyfunction("CONCATENATE(""3."",APOIO!$B$2,""."",TEXT(INDEX(SPLIT(INDEX(A:A,ROW()-1,1),"".""),1,3)+1, ""00000""))"),"3.3262.00059")</f>
        <v>3.3262.00059</v>
      </c>
      <c r="B55" s="11" t="s">
        <v>243</v>
      </c>
      <c r="C55" s="11">
        <v>6571</v>
      </c>
      <c r="D55" s="11" t="s">
        <v>43</v>
      </c>
      <c r="E55" s="12" t="s">
        <v>244</v>
      </c>
      <c r="F55" s="13">
        <v>43259</v>
      </c>
      <c r="G55" s="34">
        <v>142064.9</v>
      </c>
      <c r="H55" s="12" t="s">
        <v>129</v>
      </c>
      <c r="I55" s="14" t="s">
        <v>245</v>
      </c>
      <c r="J55" s="11" t="s">
        <v>50</v>
      </c>
      <c r="K55" s="11" t="s">
        <v>97</v>
      </c>
      <c r="L55" s="12"/>
      <c r="M55" s="11"/>
      <c r="N55" s="18">
        <v>142064.9</v>
      </c>
      <c r="O55" s="17"/>
      <c r="P55" s="12" t="s">
        <v>89</v>
      </c>
      <c r="Q55" s="11" t="s">
        <v>53</v>
      </c>
      <c r="R55" s="18"/>
      <c r="S55" s="18"/>
      <c r="T55" s="18"/>
      <c r="U55" s="18">
        <f t="shared" si="6"/>
        <v>142064.9</v>
      </c>
      <c r="V55" s="18">
        <f t="shared" si="7"/>
        <v>28412.98</v>
      </c>
      <c r="W55" s="19">
        <f t="shared" si="8"/>
        <v>12</v>
      </c>
      <c r="X55" s="18">
        <f t="shared" si="9"/>
        <v>378.8397333333333</v>
      </c>
      <c r="Y55" s="18">
        <f t="shared" si="10"/>
        <v>4546.0767999999998</v>
      </c>
      <c r="Z55" s="18" t="str">
        <f>VLOOKUP($P55,APOIO!$D:$F,3,FALSE())</f>
        <v>1.2.3.8.1.02.01.02.01</v>
      </c>
      <c r="AA55" s="18">
        <f t="shared" si="11"/>
        <v>137518.82319999998</v>
      </c>
    </row>
    <row r="56" spans="1:27" ht="28.5" x14ac:dyDescent="0.2">
      <c r="A56" s="11" t="str">
        <f ca="1">IFERROR(__xludf.dummyfunction("CONCATENATE(""3."",APOIO!$B$2,""."",TEXT(INDEX(SPLIT(INDEX(A:A,ROW()-1,1),"".""),1,3)+1, ""00000""))"),"3.3262.00060")</f>
        <v>3.3262.00060</v>
      </c>
      <c r="B56" s="11" t="s">
        <v>246</v>
      </c>
      <c r="C56" s="11">
        <v>947</v>
      </c>
      <c r="D56" s="11" t="s">
        <v>43</v>
      </c>
      <c r="E56" s="12" t="s">
        <v>247</v>
      </c>
      <c r="F56" s="13">
        <v>43238</v>
      </c>
      <c r="G56" s="34">
        <v>60000</v>
      </c>
      <c r="H56" s="12" t="s">
        <v>87</v>
      </c>
      <c r="I56" s="14" t="s">
        <v>248</v>
      </c>
      <c r="J56" s="11" t="s">
        <v>50</v>
      </c>
      <c r="K56" s="11" t="s">
        <v>97</v>
      </c>
      <c r="L56" s="12"/>
      <c r="M56" s="11"/>
      <c r="N56" s="18">
        <v>60000</v>
      </c>
      <c r="O56" s="17"/>
      <c r="P56" s="12" t="s">
        <v>89</v>
      </c>
      <c r="Q56" s="11" t="s">
        <v>53</v>
      </c>
      <c r="R56" s="18"/>
      <c r="S56" s="18"/>
      <c r="T56" s="18"/>
      <c r="U56" s="18">
        <f t="shared" si="6"/>
        <v>60000</v>
      </c>
      <c r="V56" s="18">
        <f t="shared" si="7"/>
        <v>12000</v>
      </c>
      <c r="W56" s="19">
        <f t="shared" si="8"/>
        <v>12</v>
      </c>
      <c r="X56" s="18">
        <f t="shared" si="9"/>
        <v>160</v>
      </c>
      <c r="Y56" s="18">
        <f t="shared" si="10"/>
        <v>1920</v>
      </c>
      <c r="Z56" s="18" t="str">
        <f>VLOOKUP($P56,APOIO!$D:$F,3,FALSE())</f>
        <v>1.2.3.8.1.02.01.02.01</v>
      </c>
      <c r="AA56" s="18">
        <f t="shared" si="11"/>
        <v>58080</v>
      </c>
    </row>
    <row r="58" spans="1:27" ht="23.1" customHeight="1" x14ac:dyDescent="0.2">
      <c r="U58" s="35"/>
      <c r="V58" s="36"/>
    </row>
    <row r="59" spans="1:27" ht="15" x14ac:dyDescent="0.2">
      <c r="U59" s="37"/>
      <c r="V59" s="38"/>
    </row>
    <row r="60" spans="1:27" ht="15" x14ac:dyDescent="0.2">
      <c r="U60" s="39"/>
      <c r="V60" s="40"/>
    </row>
    <row r="61" spans="1:27" ht="15" x14ac:dyDescent="0.2">
      <c r="V61" s="40"/>
    </row>
    <row r="62" spans="1:27" x14ac:dyDescent="0.2">
      <c r="U62" s="30">
        <f>U2+U3+U4+U5+U6+U7+U8+U9+U10+U11+U12+U13+U14+U15+U16+U17+U18+U19+U20+U21+U22+U23+U24+U25+U26+U27+U28+U29+U30+U31+U32+U33+U34+U35+U36+U37+U38+U39+U40+U41+U42+U43+U44+U45+U46+U47+U48+U49+U50+U51+U52+U53+U54+U55+U56</f>
        <v>5267854.8499999996</v>
      </c>
    </row>
  </sheetData>
  <autoFilter ref="A1:AA41" xr:uid="{00000000-0009-0000-0000-000002000000}"/>
  <conditionalFormatting sqref="V59">
    <cfRule type="expression" dxfId="3" priority="2">
      <formula>#REF!="Verdadeiro"</formula>
    </cfRule>
  </conditionalFormatting>
  <dataValidations count="1">
    <dataValidation type="decimal" operator="greaterThanOrEqual" allowBlank="1" showErrorMessage="1" sqref="N2:N56 R2:T56" xr:uid="{00000000-0002-0000-0200-000004000000}">
      <formula1>0</formula1>
      <formula2>0</formula2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xr:uid="{00000000-0002-0000-0200-000000000000}">
          <x14:formula1>
            <xm:f>APOIO!$I$2:$I$252</xm:f>
          </x14:formula1>
          <x14:formula2>
            <xm:f>0</xm:f>
          </x14:formula2>
          <xm:sqref>B2:B56</xm:sqref>
        </x14:dataValidation>
        <x14:dataValidation type="list" operator="equal" allowBlank="1" xr:uid="{00000000-0002-0000-0200-000001000000}">
          <x14:formula1>
            <xm:f>APOIO!$J$2:$J$6</xm:f>
          </x14:formula1>
          <x14:formula2>
            <xm:f>0</xm:f>
          </x14:formula2>
          <xm:sqref>D2:D56</xm:sqref>
        </x14:dataValidation>
        <x14:dataValidation type="list" operator="equal" allowBlank="1" xr:uid="{00000000-0002-0000-0200-000002000000}">
          <x14:formula1>
            <xm:f>APOIO!$K$2:$K$3</xm:f>
          </x14:formula1>
          <x14:formula2>
            <xm:f>0</xm:f>
          </x14:formula2>
          <xm:sqref>J2:J56</xm:sqref>
        </x14:dataValidation>
        <x14:dataValidation type="list" operator="equal" allowBlank="1" xr:uid="{00000000-0002-0000-0200-000003000000}">
          <x14:formula1>
            <xm:f>APOIO!$L$2:$L$7</xm:f>
          </x14:formula1>
          <x14:formula2>
            <xm:f>0</xm:f>
          </x14:formula2>
          <xm:sqref>K2:K56</xm:sqref>
        </x14:dataValidation>
        <x14:dataValidation type="list" operator="equal" allowBlank="1" showErrorMessage="1" xr:uid="{00000000-0002-0000-0200-000005000000}">
          <x14:formula1>
            <xm:f>APOIO!$D$2:$D$71</xm:f>
          </x14:formula1>
          <x14:formula2>
            <xm:f>0</xm:f>
          </x14:formula2>
          <xm:sqref>P2:P56</xm:sqref>
        </x14:dataValidation>
        <x14:dataValidation type="list" operator="equal" allowBlank="1" showErrorMessage="1" xr:uid="{00000000-0002-0000-0200-000006000000}">
          <x14:formula1>
            <xm:f>APOIO!$G$2:$G$3</xm:f>
          </x14:formula1>
          <x14:formula2>
            <xm:f>0</xm:f>
          </x14:formula2>
          <xm:sqref>Q2:Q56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4"/>
  <sheetViews>
    <sheetView zoomScale="140" zoomScaleNormal="140" workbookViewId="0">
      <selection activeCell="G1" sqref="G1"/>
    </sheetView>
  </sheetViews>
  <sheetFormatPr defaultColWidth="11.7109375" defaultRowHeight="12.75" x14ac:dyDescent="0.2"/>
  <cols>
    <col min="1" max="1" width="18.7109375" customWidth="1"/>
    <col min="7" max="7" width="16" customWidth="1"/>
    <col min="14" max="14" width="20.7109375" customWidth="1"/>
    <col min="17" max="17" width="10" customWidth="1"/>
    <col min="18" max="18" width="1.5703125" customWidth="1"/>
    <col min="19" max="19" width="2.140625" customWidth="1"/>
    <col min="20" max="20" width="1.85546875" customWidth="1"/>
    <col min="21" max="21" width="21.85546875" customWidth="1"/>
    <col min="22" max="22" width="17.140625" customWidth="1"/>
    <col min="24" max="24" width="18" customWidth="1"/>
    <col min="25" max="25" width="17.5703125" customWidth="1"/>
    <col min="27" max="27" width="19.5703125" customWidth="1"/>
  </cols>
  <sheetData>
    <row r="2" spans="1:27" ht="54.6" customHeight="1" x14ac:dyDescent="0.2">
      <c r="A2" s="41" t="str">
        <f ca="1">IFERROR(__xludf.dummyfunction("CONCATENATE(""3."",APOIO!$B$2,""."",TEXT(INDEX(SPLIT(INDEX(A:A,ROW()-1,1),"".""),1,3)+1, ""00000""))"),"3.3262.00007")</f>
        <v>3.3262.00007</v>
      </c>
      <c r="B2" s="41" t="s">
        <v>104</v>
      </c>
      <c r="C2" s="41">
        <v>2720</v>
      </c>
      <c r="D2" s="41" t="s">
        <v>43</v>
      </c>
      <c r="E2" s="42" t="s">
        <v>249</v>
      </c>
      <c r="F2" s="43">
        <v>42640</v>
      </c>
      <c r="G2" s="44">
        <v>10138448.91</v>
      </c>
      <c r="H2" s="42" t="s">
        <v>250</v>
      </c>
      <c r="I2" s="45" t="s">
        <v>251</v>
      </c>
      <c r="J2" s="41" t="s">
        <v>252</v>
      </c>
      <c r="K2" s="41" t="s">
        <v>97</v>
      </c>
      <c r="L2" s="42" t="str">
        <f>APOIO!$A$2</f>
        <v>EMATER</v>
      </c>
      <c r="M2" s="41">
        <f>APOIO!$B$2</f>
        <v>3262</v>
      </c>
      <c r="N2" s="46">
        <v>10138448.91</v>
      </c>
      <c r="O2" s="47" t="str">
        <f>VLOOKUP($P2,APOIO!$D:$E,2,FALSE())</f>
        <v>1.2.3.2.1.01.10.01.00</v>
      </c>
      <c r="P2" s="42" t="s">
        <v>253</v>
      </c>
      <c r="Q2" s="41" t="s">
        <v>53</v>
      </c>
      <c r="R2" s="46"/>
      <c r="S2" s="46"/>
      <c r="T2" s="46"/>
      <c r="U2" s="46">
        <f>IF(AND($Q2 = "NÃO", OR($N2=0, ISBLANK($N2))),
      $R2+$S2+$T2,
      IF(AND($Q2 = "NÃO", OR($N2 &gt;0, NOT(ISBLANK($N2)))),
           $N2+$T2,
           IF($Q2 = "SIM",
                $R2+$S2
           )
      )
)</f>
        <v>10138448.91</v>
      </c>
      <c r="V2" s="46">
        <f>IF(OR($O2 = "1.2.3.2.1.99.05.01.00", $O2 = "1.2.3.2.1.99.99.03.00"),
      0,
      IF(AND($Q2 = "NÃO", OR($N2=0, ISBLANK($N2))),
           ($S2+$T2)*20/100,
           IF(AND($Q2 = "NÃO", OR($N2 &gt;0, NOT(ISBLANK($N2)))),
              ($N2+$T2)*20/100,
              IF($Q2="SIM",
                   $S2*20/100
              )
           )
      )
)</f>
        <v>2027689.7819999999</v>
      </c>
      <c r="W2" s="48">
        <f>IF(OR($O2 = "1.2.3.2.1.99.05.01.00", $O2 = "1.2.3.2.1.99.99.03.00", OR($V2=0, ISBLANK($V2))),
      0,
      IF(AND($Q2 = "NÃO", YEAR($F2) &lt;2022),
          12,
          IF(AND($Q2 = "NÃO", YEAR($F2) &gt;=2022),
               12 - (MONTH($F2)-1),
               IF(AND($Q2 = "SIM", YEAR($F2) &lt;2022),
                  11,
                  IF(AND($Q2 = "SIM", YEAR($F2) &gt;=2022),
                       12 - MONTH($F2)
                  )
               )
          )
      )
)</f>
        <v>12</v>
      </c>
      <c r="X2" s="46">
        <f>IF(OR($O2 = "1.2.3.2.1.99.05.01.00", $O2 = "1.2.3.2.1.99.99.03.00"),
      0,
      IF(AND($Q2 = "NÃO", OR($N2=0, ISBLANK($N2))),
           (((((($S2+$T2)-$V2))*4)/100)/12),
           IF(AND($Q2 = "NÃO", OR($N2 &gt;0, NOT(ISBLANK($N2)))),
                ((((($N2+$T2)-$V2)*4)/100)/12),
                IF($Q2="SIM",
                     (((($S2-$V2)*4)/100)/12)
                )
           )
      )
)</f>
        <v>27035.863760000004</v>
      </c>
      <c r="Y2" s="46">
        <f>W2*X2</f>
        <v>324430.36512000003</v>
      </c>
      <c r="Z2" s="46" t="str">
        <f>VLOOKUP($P2,APOIO!$D:$F,3,FALSE())</f>
        <v>1.2.3.8.1.02.01.10.01</v>
      </c>
      <c r="AA2" s="46">
        <f>U2-Y2</f>
        <v>9814018.5448800009</v>
      </c>
    </row>
    <row r="3" spans="1:27" ht="42.75" x14ac:dyDescent="0.2">
      <c r="A3" s="41" t="str">
        <f ca="1">IFERROR(__xludf.dummyfunction("CONCATENATE(""3."",APOIO!$B$2,""."",TEXT(INDEX(SPLIT(INDEX(A:A,ROW()-1,1),"".""),1,3)+1, ""00000""))"),"3.3262.00048")</f>
        <v>3.3262.00048</v>
      </c>
      <c r="B3" s="41" t="s">
        <v>58</v>
      </c>
      <c r="C3" s="41">
        <v>6234</v>
      </c>
      <c r="D3" s="41" t="s">
        <v>43</v>
      </c>
      <c r="E3" s="42" t="s">
        <v>254</v>
      </c>
      <c r="F3" s="43"/>
      <c r="G3" s="44">
        <v>31266.36</v>
      </c>
      <c r="H3" s="42" t="s">
        <v>250</v>
      </c>
      <c r="I3" s="45" t="s">
        <v>255</v>
      </c>
      <c r="J3" s="41" t="s">
        <v>252</v>
      </c>
      <c r="K3" s="41" t="s">
        <v>97</v>
      </c>
      <c r="L3" s="42"/>
      <c r="M3" s="41"/>
      <c r="N3" s="46">
        <v>31266.36</v>
      </c>
      <c r="O3" s="47"/>
      <c r="P3" s="42" t="s">
        <v>253</v>
      </c>
      <c r="Q3" s="41" t="s">
        <v>53</v>
      </c>
      <c r="R3" s="46"/>
      <c r="S3" s="46"/>
      <c r="T3" s="46"/>
      <c r="U3" s="46">
        <f>IF(AND($Q3 = "NÃO", OR($N3=0, ISBLANK($N3))),
      $R3+$S3+$T3,
      IF(AND($Q3 = "NÃO", OR($N3 &gt;0, NOT(ISBLANK($N3)))),
           $N3+$T3,
           IF($Q3 = "SIM",
                $R3+$S3
           )
      )
)</f>
        <v>31266.36</v>
      </c>
      <c r="V3" s="46">
        <f>IF(OR($O3 = "1.2.3.2.1.99.05.01.00", $O3 = "1.2.3.2.1.99.99.03.00"),
      0,
      IF(AND($Q3 = "NÃO", OR($N3=0, ISBLANK($N3))),
           ($S3+$T3)*20/100,
           IF(AND($Q3 = "NÃO", OR($N3 &gt;0, NOT(ISBLANK($N3)))),
              ($N3+$T3)*20/100,
              IF($Q3="SIM",
                   $S3*20/100
              )
           )
      )
)</f>
        <v>6253.2719999999999</v>
      </c>
      <c r="W3" s="48">
        <f>IF(OR($O3 = "1.2.3.2.1.99.05.01.00", $O3 = "1.2.3.2.1.99.99.03.00", OR($V3=0, ISBLANK($V3))),
      0,
      IF(AND($Q3 = "NÃO", YEAR($F3) &lt;2022),
          12,
          IF(AND($Q3 = "NÃO", YEAR($F3) &gt;=2022),
               12 - (MONTH($F3)-1),
               IF(AND($Q3 = "SIM", YEAR($F3) &lt;2022),
                  11,
                  IF(AND($Q3 = "SIM", YEAR($F3) &gt;=2022),
                       12 - MONTH($F3)
                  )
               )
          )
      )
)</f>
        <v>12</v>
      </c>
      <c r="X3" s="46">
        <f>IF(OR($O3 = "1.2.3.2.1.99.05.01.00", $O3 = "1.2.3.2.1.99.99.03.00"),
      0,
      IF(AND($Q3 = "NÃO", OR($N3=0, ISBLANK($N3))),
           (((((($S3+$T3)-$V3))*4)/100)/12),
           IF(AND($Q3 = "NÃO", OR($N3 &gt;0, NOT(ISBLANK($N3)))),
                ((((($N3+$T3)-$V3)*4)/100)/12),
                IF($Q3="SIM",
                     (((($S3-$V3)*4)/100)/12)
                )
           )
      )
)</f>
        <v>83.376959999999997</v>
      </c>
      <c r="Y3" s="46">
        <f>W3*X3</f>
        <v>1000.52352</v>
      </c>
      <c r="Z3" s="46" t="str">
        <f>VLOOKUP($P3,APOIO!$D:$F,3,FALSE())</f>
        <v>1.2.3.8.1.02.01.10.01</v>
      </c>
      <c r="AA3" s="46">
        <f>U3-Y3</f>
        <v>30265.836480000002</v>
      </c>
    </row>
    <row r="4" spans="1:27" x14ac:dyDescent="0.2">
      <c r="N4" s="49">
        <f>N2+N3</f>
        <v>10169715.27</v>
      </c>
    </row>
  </sheetData>
  <dataValidations count="1">
    <dataValidation type="decimal" operator="greaterThanOrEqual" allowBlank="1" showErrorMessage="1" sqref="N2:N3 R2:T3" xr:uid="{00000000-0002-0000-0300-000004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xr:uid="{00000000-0002-0000-0300-000000000000}">
          <x14:formula1>
            <xm:f>APOIO!$I$2:$I$252</xm:f>
          </x14:formula1>
          <x14:formula2>
            <xm:f>0</xm:f>
          </x14:formula2>
          <xm:sqref>B2:B3</xm:sqref>
        </x14:dataValidation>
        <x14:dataValidation type="list" operator="equal" allowBlank="1" xr:uid="{00000000-0002-0000-0300-000001000000}">
          <x14:formula1>
            <xm:f>APOIO!$J$2:$J$6</xm:f>
          </x14:formula1>
          <x14:formula2>
            <xm:f>0</xm:f>
          </x14:formula2>
          <xm:sqref>D2:D3</xm:sqref>
        </x14:dataValidation>
        <x14:dataValidation type="list" operator="equal" allowBlank="1" xr:uid="{00000000-0002-0000-0300-000002000000}">
          <x14:formula1>
            <xm:f>APOIO!$K$2:$K$3</xm:f>
          </x14:formula1>
          <x14:formula2>
            <xm:f>0</xm:f>
          </x14:formula2>
          <xm:sqref>J2:J3</xm:sqref>
        </x14:dataValidation>
        <x14:dataValidation type="list" operator="equal" allowBlank="1" xr:uid="{00000000-0002-0000-0300-000003000000}">
          <x14:formula1>
            <xm:f>APOIO!$L$2:$L$7</xm:f>
          </x14:formula1>
          <x14:formula2>
            <xm:f>0</xm:f>
          </x14:formula2>
          <xm:sqref>K2:K3</xm:sqref>
        </x14:dataValidation>
        <x14:dataValidation type="list" operator="equal" allowBlank="1" showErrorMessage="1" xr:uid="{00000000-0002-0000-0300-000005000000}">
          <x14:formula1>
            <xm:f>APOIO!$D$2:$D$71</xm:f>
          </x14:formula1>
          <x14:formula2>
            <xm:f>0</xm:f>
          </x14:formula2>
          <xm:sqref>P2:P3</xm:sqref>
        </x14:dataValidation>
        <x14:dataValidation type="list" operator="equal" allowBlank="1" showErrorMessage="1" xr:uid="{00000000-0002-0000-0300-000006000000}">
          <x14:formula1>
            <xm:f>APOIO!$G$2:$G$3</xm:f>
          </x14:formula1>
          <x14:formula2>
            <xm:f>0</xm:f>
          </x14:formula2>
          <xm:sqref>Q2:Q3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"/>
  <sheetViews>
    <sheetView zoomScale="140" zoomScaleNormal="140" workbookViewId="0">
      <selection activeCell="M1" sqref="M1"/>
    </sheetView>
  </sheetViews>
  <sheetFormatPr defaultColWidth="11.7109375" defaultRowHeight="12.75" x14ac:dyDescent="0.2"/>
  <cols>
    <col min="1" max="1" width="14.28515625" customWidth="1"/>
    <col min="14" max="14" width="14.85546875" customWidth="1"/>
    <col min="21" max="21" width="13.85546875" customWidth="1"/>
    <col min="22" max="22" width="15.42578125" customWidth="1"/>
    <col min="26" max="26" width="23" customWidth="1"/>
    <col min="27" max="27" width="14.140625" customWidth="1"/>
  </cols>
  <sheetData>
    <row r="1" spans="1:27" ht="14.25" x14ac:dyDescent="0.2">
      <c r="A1" s="41"/>
      <c r="B1" s="41"/>
      <c r="C1" s="41"/>
      <c r="D1" s="41"/>
      <c r="E1" s="42"/>
      <c r="F1" s="43"/>
      <c r="G1" s="44"/>
      <c r="H1" s="42"/>
      <c r="I1" s="45"/>
      <c r="J1" s="41"/>
      <c r="K1" s="41"/>
      <c r="L1" s="42"/>
      <c r="M1" s="41"/>
      <c r="N1" s="46"/>
      <c r="O1" s="47"/>
      <c r="P1" s="42"/>
      <c r="Q1" s="41"/>
      <c r="R1" s="46"/>
      <c r="S1" s="46"/>
      <c r="T1" s="46"/>
      <c r="U1" s="46"/>
      <c r="V1" s="46"/>
      <c r="W1" s="48"/>
      <c r="X1" s="46"/>
      <c r="Y1" s="46"/>
      <c r="Z1" s="46"/>
      <c r="AA1" s="46"/>
    </row>
    <row r="2" spans="1:27" ht="57" x14ac:dyDescent="0.2">
      <c r="A2" s="41" t="str">
        <f>CONCATENATE("3.",APOIO!$B$2,".","00001")</f>
        <v>3.3262.00001</v>
      </c>
      <c r="B2" s="41" t="s">
        <v>256</v>
      </c>
      <c r="C2" s="41">
        <v>242</v>
      </c>
      <c r="D2" s="41" t="s">
        <v>43</v>
      </c>
      <c r="E2" s="42" t="s">
        <v>257</v>
      </c>
      <c r="F2" s="43">
        <v>43353</v>
      </c>
      <c r="G2" s="44">
        <v>17748</v>
      </c>
      <c r="H2" s="42" t="s">
        <v>258</v>
      </c>
      <c r="I2" s="45" t="s">
        <v>259</v>
      </c>
      <c r="J2" s="41" t="s">
        <v>50</v>
      </c>
      <c r="K2" s="41" t="s">
        <v>260</v>
      </c>
      <c r="L2" s="42" t="str">
        <f>APOIO!$A$2</f>
        <v>EMATER</v>
      </c>
      <c r="M2" s="41">
        <f>APOIO!$B$2</f>
        <v>3262</v>
      </c>
      <c r="N2" s="46">
        <v>17748</v>
      </c>
      <c r="O2" s="47" t="str">
        <f>VLOOKUP($P2,APOIO!$D:$E,2,FALSE())</f>
        <v>1.2.3.2.1.01.04.01.00</v>
      </c>
      <c r="P2" s="42" t="s">
        <v>261</v>
      </c>
      <c r="Q2" s="41" t="s">
        <v>53</v>
      </c>
      <c r="R2" s="46"/>
      <c r="S2" s="46"/>
      <c r="T2" s="46"/>
      <c r="U2" s="46">
        <f>IF(AND($Q2 = "NÃO", OR($N2=0, ISBLANK($N2))),
      $R2+$S2+$T2,
      IF(AND($Q2 = "NÃO", OR($N2 &gt;0, NOT(ISBLANK($N2)))),
           $N2+$T2,
           IF($Q2 = "SIM",
                $R2+$S2
           )
      )
)</f>
        <v>17748</v>
      </c>
      <c r="V2" s="46">
        <f>IF(OR($O2 = "1.2.3.2.1.99.05.01.00", $O2 = "1.2.3.2.1.99.99.03.00"),
      0,
      IF(AND($Q2 = "NÃO", OR($N2=0, ISBLANK($N2))),
           ($S2+$T2)*20/100,
           IF(AND($Q2 = "NÃO", OR($N2 &gt;0, NOT(ISBLANK($N2)))),
              ($N2+$T2)*20/100,
              IF($Q2="SIM",
                   $S2*20/100
              )
           )
      )
)</f>
        <v>3549.6</v>
      </c>
      <c r="W2" s="48">
        <f>IF(OR($O2 = "1.2.3.2.1.99.05.01.00", $O2 = "1.2.3.2.1.99.99.03.00", OR($V2=0, ISBLANK($V2))),
      0,
      IF(AND($Q2 = "NÃO", YEAR($F2) &lt;2022),
          12,
          IF(AND($Q2 = "NÃO", YEAR($F2) &gt;=2022),
               12 - (MONTH($F2)-1),
               IF(AND($Q2 = "SIM", YEAR($F2) &lt;2022),
                  11,
                  IF(AND($Q2 = "SIM", YEAR($F2) &gt;=2022),
                       12 - MONTH($F2)
                  )
               )
          )
      )
)</f>
        <v>12</v>
      </c>
      <c r="X2" s="46">
        <f>IF(OR($O2 = "1.2.3.2.1.99.05.01.00", $O2 = "1.2.3.2.1.99.99.03.00"),
      0,
      IF(AND($Q2 = "NÃO", OR($N2=0, ISBLANK($N2))),
           (((((($S2+$T2)-$V2))*4)/100)/12),
           IF(AND($Q2 = "NÃO", OR($N2 &gt;0, NOT(ISBLANK($N2)))),
                ((((($N2+$T2)-$V2)*4)/100)/12),
                IF($Q2="SIM",
                     (((($S2-$V2)*4)/100)/12)
                )
           )
      )
)</f>
        <v>47.328000000000003</v>
      </c>
      <c r="Y2" s="46">
        <f>W2*X2</f>
        <v>567.93600000000004</v>
      </c>
      <c r="Z2" s="46" t="str">
        <f>VLOOKUP($P2,APOIO!$D:$F,3,FALSE())</f>
        <v>1.2.3.8.1.02.01.04.01</v>
      </c>
      <c r="AA2" s="46">
        <f>U2-Y2</f>
        <v>17180.063999999998</v>
      </c>
    </row>
    <row r="3" spans="1:27" ht="42.75" x14ac:dyDescent="0.2">
      <c r="A3" s="41" t="str">
        <f ca="1">IFERROR(__xludf.dummyfunction("CONCATENATE(""3."",APOIO!$B$2,""."",TEXT(INDEX(SPLIT(INDEX(A:A,ROW()-1,1),"".""),1,3)+1, ""00000""))"),"3.3262.00025")</f>
        <v>3.3262.00025</v>
      </c>
      <c r="B3" s="41" t="s">
        <v>262</v>
      </c>
      <c r="C3" s="41">
        <v>917</v>
      </c>
      <c r="D3" s="41" t="s">
        <v>43</v>
      </c>
      <c r="E3" s="42" t="s">
        <v>144</v>
      </c>
      <c r="F3" s="43">
        <v>43238</v>
      </c>
      <c r="G3" s="44">
        <v>3261.8</v>
      </c>
      <c r="H3" s="42" t="s">
        <v>258</v>
      </c>
      <c r="I3" s="45" t="s">
        <v>263</v>
      </c>
      <c r="J3" s="41" t="s">
        <v>50</v>
      </c>
      <c r="K3" s="41" t="s">
        <v>260</v>
      </c>
      <c r="L3" s="42" t="str">
        <f>APOIO!$A$2</f>
        <v>EMATER</v>
      </c>
      <c r="M3" s="41">
        <f>APOIO!$B$2</f>
        <v>3262</v>
      </c>
      <c r="N3" s="46">
        <v>3261.8</v>
      </c>
      <c r="O3" s="47" t="str">
        <f>VLOOKUP($P3,APOIO!$D:$E,2,FALSE())</f>
        <v>1.2.3.2.1.01.04.01.00</v>
      </c>
      <c r="P3" s="42" t="s">
        <v>261</v>
      </c>
      <c r="Q3" s="41" t="s">
        <v>53</v>
      </c>
      <c r="R3" s="46"/>
      <c r="S3" s="46"/>
      <c r="T3" s="46"/>
      <c r="U3" s="46">
        <f>IF(AND($Q3 = "NÃO", OR($N3=0, ISBLANK($N3))),
      $R3+$S3+$T3,
      IF(AND($Q3 = "NÃO", OR($N3 &gt;0, NOT(ISBLANK($N3)))),
           $N3+$T3,
           IF($Q3 = "SIM",
                $R3+$S3
           )
      )
)</f>
        <v>3261.8</v>
      </c>
      <c r="V3" s="46">
        <f>IF(OR($O3 = "1.2.3.2.1.99.05.01.00", $O3 = "1.2.3.2.1.99.99.03.00"),
      0,
      IF(AND($Q3 = "NÃO", OR($N3=0, ISBLANK($N3))),
           ($S3+$T3)*20/100,
           IF(AND($Q3 = "NÃO", OR($N3 &gt;0, NOT(ISBLANK($N3)))),
              ($N3+$T3)*20/100,
              IF($Q3="SIM",
                   $S3*20/100
              )
           )
      )
)</f>
        <v>652.36</v>
      </c>
      <c r="W3" s="48">
        <f>IF(OR($O3 = "1.2.3.2.1.99.05.01.00", $O3 = "1.2.3.2.1.99.99.03.00", OR($V3=0, ISBLANK($V3))),
      0,
      IF(AND($Q3 = "NÃO", YEAR($F3) &lt;2022),
          12,
          IF(AND($Q3 = "NÃO", YEAR($F3) &gt;=2022),
               12 - (MONTH($F3)-1),
               IF(AND($Q3 = "SIM", YEAR($F3) &lt;2022),
                  11,
                  IF(AND($Q3 = "SIM", YEAR($F3) &gt;=2022),
                       12 - MONTH($F3)
                  )
               )
          )
      )
)</f>
        <v>12</v>
      </c>
      <c r="X3" s="46">
        <f>IF(OR($O3 = "1.2.3.2.1.99.05.01.00", $O3 = "1.2.3.2.1.99.99.03.00"),
      0,
      IF(AND($Q3 = "NÃO", OR($N3=0, ISBLANK($N3))),
           (((((($S3+$T3)-$V3))*4)/100)/12),
           IF(AND($Q3 = "NÃO", OR($N3 &gt;0, NOT(ISBLANK($N3)))),
                ((((($N3+$T3)-$V3)*4)/100)/12),
                IF($Q3="SIM",
                     (((($S3-$V3)*4)/100)/12)
                )
           )
      )
)</f>
        <v>8.6981333333333328</v>
      </c>
      <c r="Y3" s="46">
        <f>W3*X3</f>
        <v>104.3776</v>
      </c>
      <c r="Z3" s="46" t="str">
        <f>VLOOKUP($P3,APOIO!$D:$F,3,FALSE())</f>
        <v>1.2.3.8.1.02.01.04.01</v>
      </c>
      <c r="AA3" s="46">
        <f>U3-Y3</f>
        <v>3157.4224000000004</v>
      </c>
    </row>
    <row r="4" spans="1:27" x14ac:dyDescent="0.2">
      <c r="U4" s="49">
        <f>U2+U3</f>
        <v>21009.8</v>
      </c>
      <c r="V4" s="49">
        <f>V2+V3</f>
        <v>4201.96</v>
      </c>
      <c r="X4" s="49">
        <f>X2+X3</f>
        <v>56.026133333333334</v>
      </c>
      <c r="Y4" s="49">
        <f>Y2+Y3</f>
        <v>672.31360000000006</v>
      </c>
      <c r="AA4" s="49">
        <f>AA2+AA3</f>
        <v>20337.486399999998</v>
      </c>
    </row>
  </sheetData>
  <dataValidations count="1">
    <dataValidation type="decimal" operator="greaterThanOrEqual" allowBlank="1" showErrorMessage="1" sqref="N1:N3 R1:T3" xr:uid="{00000000-0002-0000-0400-000004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xr:uid="{00000000-0002-0000-0400-000000000000}">
          <x14:formula1>
            <xm:f>APOIO!$I$2:$I$252</xm:f>
          </x14:formula1>
          <x14:formula2>
            <xm:f>0</xm:f>
          </x14:formula2>
          <xm:sqref>B1:B3</xm:sqref>
        </x14:dataValidation>
        <x14:dataValidation type="list" operator="equal" allowBlank="1" xr:uid="{00000000-0002-0000-0400-000001000000}">
          <x14:formula1>
            <xm:f>APOIO!$J$2:$J$6</xm:f>
          </x14:formula1>
          <x14:formula2>
            <xm:f>0</xm:f>
          </x14:formula2>
          <xm:sqref>D1:D3</xm:sqref>
        </x14:dataValidation>
        <x14:dataValidation type="list" operator="equal" allowBlank="1" xr:uid="{00000000-0002-0000-0400-000002000000}">
          <x14:formula1>
            <xm:f>APOIO!$K$2:$K$3</xm:f>
          </x14:formula1>
          <x14:formula2>
            <xm:f>0</xm:f>
          </x14:formula2>
          <xm:sqref>J1:J3</xm:sqref>
        </x14:dataValidation>
        <x14:dataValidation type="list" operator="equal" allowBlank="1" xr:uid="{00000000-0002-0000-0400-000003000000}">
          <x14:formula1>
            <xm:f>APOIO!$L$2:$L$7</xm:f>
          </x14:formula1>
          <x14:formula2>
            <xm:f>0</xm:f>
          </x14:formula2>
          <xm:sqref>K1:K3</xm:sqref>
        </x14:dataValidation>
        <x14:dataValidation type="list" operator="equal" allowBlank="1" showErrorMessage="1" xr:uid="{00000000-0002-0000-0400-000005000000}">
          <x14:formula1>
            <xm:f>APOIO!$D$2:$D$71</xm:f>
          </x14:formula1>
          <x14:formula2>
            <xm:f>0</xm:f>
          </x14:formula2>
          <xm:sqref>P1:P3</xm:sqref>
        </x14:dataValidation>
        <x14:dataValidation type="list" operator="equal" allowBlank="1" showErrorMessage="1" xr:uid="{00000000-0002-0000-0400-000006000000}">
          <x14:formula1>
            <xm:f>APOIO!$G$2:$G$3</xm:f>
          </x14:formula1>
          <x14:formula2>
            <xm:f>0</xm:f>
          </x14:formula2>
          <xm:sqref>Q1:Q3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2"/>
  <sheetViews>
    <sheetView topLeftCell="P1" zoomScale="140" zoomScaleNormal="140" workbookViewId="0">
      <selection activeCell="U2" sqref="U2"/>
    </sheetView>
  </sheetViews>
  <sheetFormatPr defaultColWidth="11.5703125" defaultRowHeight="12.75" x14ac:dyDescent="0.2"/>
  <cols>
    <col min="1" max="1" width="14.140625" customWidth="1"/>
    <col min="2" max="2" width="8.5703125" customWidth="1"/>
    <col min="3" max="3" width="7.140625" customWidth="1"/>
    <col min="4" max="4" width="5" customWidth="1"/>
    <col min="6" max="6" width="14" customWidth="1"/>
    <col min="7" max="7" width="13.5703125" customWidth="1"/>
    <col min="9" max="9" width="20.42578125" customWidth="1"/>
    <col min="10" max="10" width="8.140625" customWidth="1"/>
    <col min="11" max="11" width="12.28515625" customWidth="1"/>
    <col min="13" max="13" width="6.140625" customWidth="1"/>
    <col min="14" max="14" width="19.5703125" customWidth="1"/>
    <col min="15" max="15" width="20.85546875" customWidth="1"/>
    <col min="16" max="16" width="20.28515625" customWidth="1"/>
    <col min="17" max="17" width="5.85546875" customWidth="1"/>
    <col min="21" max="21" width="19.28515625" customWidth="1"/>
    <col min="22" max="22" width="18.7109375" customWidth="1"/>
    <col min="23" max="23" width="3.7109375" customWidth="1"/>
    <col min="24" max="24" width="13.85546875" customWidth="1"/>
    <col min="25" max="25" width="18.5703125" customWidth="1"/>
    <col min="26" max="26" width="20.85546875" customWidth="1"/>
    <col min="27" max="27" width="21.7109375" customWidth="1"/>
  </cols>
  <sheetData>
    <row r="2" spans="1:27" ht="56.25" customHeight="1" x14ac:dyDescent="0.2">
      <c r="A2" s="41" t="str">
        <f ca="1">IFERROR(__xludf.dummyfunction("CONCATENATE(""3."",APOIO!$B$2,""."",TEXT(INDEX(SPLIT(INDEX(A:A,ROW()-1,1),"".""),1,3)+1, ""00000""))"),"3.3262.00022")</f>
        <v>3.3262.00022</v>
      </c>
      <c r="B2" s="41" t="s">
        <v>264</v>
      </c>
      <c r="C2" s="41">
        <v>78970</v>
      </c>
      <c r="D2" s="41" t="s">
        <v>43</v>
      </c>
      <c r="E2" s="42" t="s">
        <v>265</v>
      </c>
      <c r="F2" s="43">
        <v>43627</v>
      </c>
      <c r="G2" s="44">
        <v>33143814.420000002</v>
      </c>
      <c r="H2" s="42" t="s">
        <v>266</v>
      </c>
      <c r="I2" s="45" t="s">
        <v>267</v>
      </c>
      <c r="J2" s="41" t="s">
        <v>50</v>
      </c>
      <c r="K2" s="41" t="s">
        <v>97</v>
      </c>
      <c r="L2" s="42" t="str">
        <f>APOIO!$A$2</f>
        <v>EMATER</v>
      </c>
      <c r="M2" s="41">
        <f>APOIO!$B$2</f>
        <v>3262</v>
      </c>
      <c r="N2" s="46">
        <v>33143814.420000002</v>
      </c>
      <c r="O2" s="47" t="str">
        <f>VLOOKUP($P2,APOIO!$D:$E,2,FALSE())</f>
        <v>1.2.3.2.1.01.98.10.00</v>
      </c>
      <c r="P2" s="42" t="s">
        <v>55</v>
      </c>
      <c r="Q2" s="41" t="s">
        <v>53</v>
      </c>
      <c r="R2" s="46"/>
      <c r="S2" s="46"/>
      <c r="T2" s="46"/>
      <c r="U2" s="46">
        <f>IF(AND($Q2 = "NÃO", OR($N2=0, ISBLANK($N2))),
      $R2+$S2+$T2,
      IF(AND($Q2 = "NÃO", OR($N2 &gt;0, NOT(ISBLANK($N2)))),
           $N2+$T2,
           IF($Q2 = "SIM",
                $R2+$S2
           )
      )
)</f>
        <v>33143814.420000002</v>
      </c>
      <c r="V2" s="46">
        <f>IF(OR($O2 = "1.2.3.2.1.99.05.01.00", $O2 = "1.2.3.2.1.99.99.03.00"),
      0,
      IF(AND($Q2 = "NÃO", OR($N2=0, ISBLANK($N2))),
           ($S2+$T2)*20/100,
           IF(AND($Q2 = "NÃO", OR($N2 &gt;0, NOT(ISBLANK($N2)))),
              ($N2+$T2)*20/100,
              IF($Q2="SIM",
                   $S2*20/100
              )
           )
      )
)</f>
        <v>6628762.8840000005</v>
      </c>
      <c r="W2" s="48">
        <f>IF(OR($O2 = "1.2.3.2.1.99.05.01.00", $O2 = "1.2.3.2.1.99.99.03.00", OR($V2=0, ISBLANK($V2))),
      0,
      IF(AND($Q2 = "NÃO", YEAR($F2) &lt;2022),
          12,
          IF(AND($Q2 = "NÃO", YEAR($F2) &gt;=2022),
               12 - (MONTH($F2)-1),
               IF(AND($Q2 = "SIM", YEAR($F2) &lt;2022),
                  11,
                  IF(AND($Q2 = "SIM", YEAR($F2) &gt;=2022),
                       12 - MONTH($F2)
                  )
               )
          )
      )
)</f>
        <v>12</v>
      </c>
      <c r="X2" s="46">
        <f>IF(OR($O2 = "1.2.3.2.1.99.05.01.00", $O2 = "1.2.3.2.1.99.99.03.00"),
      0,
      IF(AND($Q2 = "NÃO", OR($N2=0, ISBLANK($N2))),
           (((((($S2+$T2)-$V2))*4)/100)/12),
           IF(AND($Q2 = "NÃO", OR($N2 &gt;0, NOT(ISBLANK($N2)))),
                ((((($N2+$T2)-$V2)*4)/100)/12),
                IF($Q2="SIM",
                     (((($S2-$V2)*4)/100)/12)
                )
           )
      )
)</f>
        <v>88383.505120000002</v>
      </c>
      <c r="Y2" s="46">
        <f>W2*X2</f>
        <v>1060602.0614400001</v>
      </c>
      <c r="Z2" s="46" t="str">
        <f>VLOOKUP($P2,APOIO!$D:$F,3,FALSE())</f>
        <v>1.2.3.8.1.02.01.98.10</v>
      </c>
      <c r="AA2" s="46">
        <f>U2-Y2</f>
        <v>32083212.358560003</v>
      </c>
    </row>
  </sheetData>
  <dataValidations count="1">
    <dataValidation type="decimal" operator="greaterThanOrEqual" allowBlank="1" showErrorMessage="1" sqref="N2 R2:T2" xr:uid="{00000000-0002-0000-0500-000004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xr:uid="{00000000-0002-0000-0500-000000000000}">
          <x14:formula1>
            <xm:f>APOIO!$I$2:$I$252</xm:f>
          </x14:formula1>
          <x14:formula2>
            <xm:f>0</xm:f>
          </x14:formula2>
          <xm:sqref>B2</xm:sqref>
        </x14:dataValidation>
        <x14:dataValidation type="list" operator="equal" allowBlank="1" xr:uid="{00000000-0002-0000-0500-000001000000}">
          <x14:formula1>
            <xm:f>APOIO!$J$2:$J$6</xm:f>
          </x14:formula1>
          <x14:formula2>
            <xm:f>0</xm:f>
          </x14:formula2>
          <xm:sqref>D2</xm:sqref>
        </x14:dataValidation>
        <x14:dataValidation type="list" operator="equal" allowBlank="1" xr:uid="{00000000-0002-0000-0500-000002000000}">
          <x14:formula1>
            <xm:f>APOIO!$K$2:$K$3</xm:f>
          </x14:formula1>
          <x14:formula2>
            <xm:f>0</xm:f>
          </x14:formula2>
          <xm:sqref>J2</xm:sqref>
        </x14:dataValidation>
        <x14:dataValidation type="list" operator="equal" allowBlank="1" xr:uid="{00000000-0002-0000-0500-000003000000}">
          <x14:formula1>
            <xm:f>APOIO!$L$2:$L$7</xm:f>
          </x14:formula1>
          <x14:formula2>
            <xm:f>0</xm:f>
          </x14:formula2>
          <xm:sqref>K2</xm:sqref>
        </x14:dataValidation>
        <x14:dataValidation type="list" operator="equal" allowBlank="1" showErrorMessage="1" xr:uid="{00000000-0002-0000-0500-000005000000}">
          <x14:formula1>
            <xm:f>APOIO!$D$2:$D$71</xm:f>
          </x14:formula1>
          <x14:formula2>
            <xm:f>0</xm:f>
          </x14:formula2>
          <xm:sqref>P2</xm:sqref>
        </x14:dataValidation>
        <x14:dataValidation type="list" operator="equal" allowBlank="1" showErrorMessage="1" xr:uid="{00000000-0002-0000-0500-000006000000}">
          <x14:formula1>
            <xm:f>APOIO!$G$2:$G$3</xm:f>
          </x14:formula1>
          <x14:formula2>
            <xm:f>0</xm:f>
          </x14:formula2>
          <xm:sqref>Q2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"/>
  <sheetViews>
    <sheetView zoomScale="140" zoomScaleNormal="140" workbookViewId="0">
      <pane ySplit="1" topLeftCell="A2" activePane="bottomLeft" state="frozen"/>
      <selection pane="bottomLeft" activeCell="T6" sqref="T6"/>
    </sheetView>
  </sheetViews>
  <sheetFormatPr defaultColWidth="12.85546875" defaultRowHeight="12.75" x14ac:dyDescent="0.2"/>
  <cols>
    <col min="1" max="1" width="13.5703125" customWidth="1"/>
    <col min="2" max="2" width="14" customWidth="1"/>
    <col min="4" max="4" width="8.7109375" customWidth="1"/>
    <col min="6" max="6" width="13.42578125" customWidth="1"/>
    <col min="8" max="8" width="12.85546875" customWidth="1"/>
    <col min="9" max="9" width="16.140625" customWidth="1"/>
    <col min="10" max="10" width="13.5703125" customWidth="1"/>
    <col min="11" max="11" width="14.85546875" customWidth="1"/>
    <col min="12" max="12" width="18.5703125" customWidth="1"/>
    <col min="13" max="13" width="17.5703125" customWidth="1"/>
    <col min="14" max="14" width="24.85546875" customWidth="1"/>
    <col min="15" max="15" width="26" customWidth="1"/>
    <col min="18" max="18" width="15.5703125" customWidth="1"/>
    <col min="19" max="19" width="15.28515625" customWidth="1"/>
    <col min="20" max="20" width="20.28515625" customWidth="1"/>
    <col min="21" max="21" width="24.42578125" customWidth="1"/>
    <col min="22" max="22" width="25.5703125" customWidth="1"/>
    <col min="23" max="23" width="14.140625" customWidth="1"/>
  </cols>
  <sheetData>
    <row r="1" spans="1:24" ht="45" x14ac:dyDescent="0.2">
      <c r="A1" s="1" t="s">
        <v>71</v>
      </c>
      <c r="B1" s="10" t="s">
        <v>1</v>
      </c>
      <c r="C1" s="10" t="s">
        <v>2</v>
      </c>
      <c r="D1" s="10" t="s">
        <v>3</v>
      </c>
      <c r="E1" s="10" t="s">
        <v>72</v>
      </c>
      <c r="F1" s="32" t="s">
        <v>6</v>
      </c>
      <c r="G1" s="33" t="s">
        <v>7</v>
      </c>
      <c r="H1" s="10" t="s">
        <v>8</v>
      </c>
      <c r="I1" s="10" t="s">
        <v>9</v>
      </c>
      <c r="J1" s="10" t="s">
        <v>10</v>
      </c>
      <c r="K1" s="10" t="s">
        <v>11</v>
      </c>
      <c r="L1" s="10" t="s">
        <v>12</v>
      </c>
      <c r="M1" s="10" t="s">
        <v>13</v>
      </c>
      <c r="N1" s="10" t="s">
        <v>77</v>
      </c>
      <c r="O1" s="10" t="s">
        <v>78</v>
      </c>
      <c r="P1" s="10" t="s">
        <v>79</v>
      </c>
      <c r="Q1" s="10" t="s">
        <v>18</v>
      </c>
      <c r="R1" s="1" t="s">
        <v>24</v>
      </c>
      <c r="S1" s="1" t="s">
        <v>25</v>
      </c>
      <c r="T1" s="10" t="s">
        <v>90</v>
      </c>
      <c r="U1" s="8" t="s">
        <v>27</v>
      </c>
      <c r="V1" s="10" t="s">
        <v>28</v>
      </c>
      <c r="W1" s="10" t="s">
        <v>268</v>
      </c>
    </row>
    <row r="2" spans="1:24" ht="42.75" x14ac:dyDescent="0.2">
      <c r="A2" s="11" t="str">
        <f>CONCATENATE("4.",APOIO!$B$2,".","00001")</f>
        <v>4.3262.00001</v>
      </c>
      <c r="B2" s="11" t="s">
        <v>189</v>
      </c>
      <c r="C2" s="11">
        <v>2156</v>
      </c>
      <c r="D2" s="11" t="s">
        <v>43</v>
      </c>
      <c r="E2" s="12" t="s">
        <v>269</v>
      </c>
      <c r="F2" s="13">
        <v>43245</v>
      </c>
      <c r="G2" s="34">
        <v>98432.68</v>
      </c>
      <c r="H2" s="50">
        <v>44421</v>
      </c>
      <c r="I2" s="50">
        <v>46246</v>
      </c>
      <c r="J2" s="12" t="s">
        <v>270</v>
      </c>
      <c r="K2" s="51">
        <v>44348</v>
      </c>
      <c r="L2" s="12" t="s">
        <v>271</v>
      </c>
      <c r="M2" s="12">
        <v>202119222000992</v>
      </c>
      <c r="N2" s="12" t="s">
        <v>272</v>
      </c>
      <c r="O2" s="14" t="s">
        <v>273</v>
      </c>
      <c r="P2" s="11" t="s">
        <v>50</v>
      </c>
      <c r="Q2" s="11" t="s">
        <v>51</v>
      </c>
      <c r="R2" s="12" t="str">
        <f>APOIO!$A$2</f>
        <v>EMATER</v>
      </c>
      <c r="S2" s="11">
        <f>APOIO!$B$2</f>
        <v>3262</v>
      </c>
      <c r="T2" s="18">
        <v>98432.68</v>
      </c>
      <c r="U2" s="17" t="str">
        <f>VLOOKUP($V2,APOIO!$D:$E,2,FALSE())</f>
        <v>1.2.3.2.1.01.02.01.00</v>
      </c>
      <c r="V2" s="12" t="s">
        <v>89</v>
      </c>
      <c r="W2" s="18">
        <f>T2</f>
        <v>98432.68</v>
      </c>
    </row>
    <row r="3" spans="1:24" ht="42.75" x14ac:dyDescent="0.2">
      <c r="A3" s="11" t="str">
        <f>CONCATENATE("4.",APOIO!$B$2,".","00001")</f>
        <v>4.3262.00001</v>
      </c>
      <c r="B3" s="11" t="s">
        <v>189</v>
      </c>
      <c r="C3" s="11">
        <v>2157</v>
      </c>
      <c r="D3" s="11" t="s">
        <v>43</v>
      </c>
      <c r="E3" s="12" t="s">
        <v>269</v>
      </c>
      <c r="F3" s="13">
        <v>43245</v>
      </c>
      <c r="G3" s="34">
        <v>9039.77</v>
      </c>
      <c r="H3" s="50">
        <v>44421</v>
      </c>
      <c r="I3" s="50">
        <v>46246</v>
      </c>
      <c r="J3" s="12" t="s">
        <v>270</v>
      </c>
      <c r="K3" s="51">
        <v>44348</v>
      </c>
      <c r="L3" s="12" t="s">
        <v>271</v>
      </c>
      <c r="M3" s="12">
        <v>202119222000992</v>
      </c>
      <c r="N3" s="12" t="s">
        <v>258</v>
      </c>
      <c r="O3" s="14" t="s">
        <v>274</v>
      </c>
      <c r="P3" s="11" t="s">
        <v>50</v>
      </c>
      <c r="Q3" s="11" t="s">
        <v>260</v>
      </c>
      <c r="R3" s="12" t="str">
        <f>APOIO!$A$2</f>
        <v>EMATER</v>
      </c>
      <c r="S3" s="11">
        <f>APOIO!$B$2</f>
        <v>3262</v>
      </c>
      <c r="T3" s="18">
        <v>9039.77</v>
      </c>
      <c r="U3" s="17" t="str">
        <f>VLOOKUP($V3,APOIO!$D:$E,2,FALSE())</f>
        <v>1.2.3.2.1.01.04.01.00</v>
      </c>
      <c r="V3" s="12" t="s">
        <v>261</v>
      </c>
      <c r="W3" s="18">
        <f>T3</f>
        <v>9039.77</v>
      </c>
    </row>
    <row r="4" spans="1:24" x14ac:dyDescent="0.2">
      <c r="X4" s="52">
        <f>W2+W3</f>
        <v>107472.45</v>
      </c>
    </row>
    <row r="5" spans="1:24" x14ac:dyDescent="0.2">
      <c r="T5" s="49">
        <f>T2+T3</f>
        <v>107472.45</v>
      </c>
    </row>
  </sheetData>
  <autoFilter ref="A1:W3" xr:uid="{00000000-0009-0000-0000-000006000000}"/>
  <dataValidations count="1">
    <dataValidation type="decimal" operator="greaterThanOrEqual" allowBlank="1" showErrorMessage="1" sqref="T2:T3" xr:uid="{00000000-0002-0000-0600-000004000000}">
      <formula1>0</formula1>
      <formula2>0</formula2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operator="equal" allowBlank="1" xr:uid="{00000000-0002-0000-0600-000000000000}">
          <x14:formula1>
            <xm:f>APOIO!$I$2:$I$252</xm:f>
          </x14:formula1>
          <x14:formula2>
            <xm:f>0</xm:f>
          </x14:formula2>
          <xm:sqref>B2:B3</xm:sqref>
        </x14:dataValidation>
        <x14:dataValidation type="list" operator="equal" allowBlank="1" xr:uid="{00000000-0002-0000-0600-000001000000}">
          <x14:formula1>
            <xm:f>APOIO!$J$2:$J$6</xm:f>
          </x14:formula1>
          <x14:formula2>
            <xm:f>0</xm:f>
          </x14:formula2>
          <xm:sqref>D2:D3</xm:sqref>
        </x14:dataValidation>
        <x14:dataValidation type="list" operator="equal" allowBlank="1" xr:uid="{00000000-0002-0000-0600-000002000000}">
          <x14:formula1>
            <xm:f>APOIO!$K$2:$K$3</xm:f>
          </x14:formula1>
          <x14:formula2>
            <xm:f>0</xm:f>
          </x14:formula2>
          <xm:sqref>P2:P3</xm:sqref>
        </x14:dataValidation>
        <x14:dataValidation type="list" operator="equal" allowBlank="1" xr:uid="{00000000-0002-0000-0600-000003000000}">
          <x14:formula1>
            <xm:f>APOIO!$L$2:$L$7</xm:f>
          </x14:formula1>
          <x14:formula2>
            <xm:f>0</xm:f>
          </x14:formula2>
          <xm:sqref>Q2:Q3</xm:sqref>
        </x14:dataValidation>
        <x14:dataValidation type="list" operator="equal" allowBlank="1" showErrorMessage="1" xr:uid="{00000000-0002-0000-0600-000005000000}">
          <x14:formula1>
            <xm:f>APOIO!$D$2:$D$71</xm:f>
          </x14:formula1>
          <x14:formula2>
            <xm:f>0</xm:f>
          </x14:formula2>
          <xm:sqref>V2:V3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showGridLines="0" zoomScale="140" zoomScaleNormal="140" workbookViewId="0">
      <pane ySplit="1" topLeftCell="A2" activePane="bottomLeft" state="frozen"/>
      <selection pane="bottomLeft" activeCell="F4" sqref="F4"/>
    </sheetView>
  </sheetViews>
  <sheetFormatPr defaultColWidth="12.85546875" defaultRowHeight="12.75" x14ac:dyDescent="0.2"/>
  <cols>
    <col min="1" max="1" width="19" customWidth="1"/>
    <col min="2" max="2" width="15.85546875" customWidth="1"/>
    <col min="3" max="3" width="21.28515625" customWidth="1"/>
    <col min="4" max="4" width="50.7109375" customWidth="1"/>
    <col min="5" max="5" width="25" customWidth="1"/>
    <col min="6" max="6" width="34.140625" customWidth="1"/>
  </cols>
  <sheetData>
    <row r="1" spans="1:6" ht="30" x14ac:dyDescent="0.2">
      <c r="A1" s="1" t="s">
        <v>24</v>
      </c>
      <c r="B1" s="1" t="s">
        <v>25</v>
      </c>
      <c r="C1" s="8" t="s">
        <v>27</v>
      </c>
      <c r="D1" s="8" t="s">
        <v>28</v>
      </c>
      <c r="E1" s="10" t="s">
        <v>275</v>
      </c>
      <c r="F1" s="10" t="s">
        <v>276</v>
      </c>
    </row>
    <row r="2" spans="1:6" ht="14.25" x14ac:dyDescent="0.2">
      <c r="A2" s="53" t="str">
        <f>APOIO!$A$2</f>
        <v>EMATER</v>
      </c>
      <c r="B2" s="53">
        <f>APOIO!$B$2</f>
        <v>3262</v>
      </c>
      <c r="C2" s="53" t="s">
        <v>277</v>
      </c>
      <c r="D2" s="53" t="s">
        <v>278</v>
      </c>
      <c r="E2" s="54">
        <v>0</v>
      </c>
      <c r="F2" s="38">
        <v>0</v>
      </c>
    </row>
    <row r="3" spans="1:6" ht="14.25" x14ac:dyDescent="0.2">
      <c r="A3" s="53" t="str">
        <f>APOIO!$A$2</f>
        <v>EMATER</v>
      </c>
      <c r="B3" s="53">
        <f>APOIO!$B$2</f>
        <v>3262</v>
      </c>
      <c r="C3" s="53" t="s">
        <v>279</v>
      </c>
      <c r="D3" s="53" t="s">
        <v>280</v>
      </c>
      <c r="E3" s="54">
        <v>0</v>
      </c>
      <c r="F3" s="38">
        <v>0</v>
      </c>
    </row>
    <row r="4" spans="1:6" ht="14.25" x14ac:dyDescent="0.2">
      <c r="A4" s="53" t="str">
        <f>APOIO!$A$2</f>
        <v>EMATER</v>
      </c>
      <c r="B4" s="55">
        <f>APOIO!$B$2</f>
        <v>3262</v>
      </c>
      <c r="C4" s="56" t="s">
        <v>281</v>
      </c>
      <c r="D4" s="55" t="s">
        <v>282</v>
      </c>
      <c r="E4" s="57">
        <v>26237374.550000001</v>
      </c>
      <c r="F4" s="58">
        <v>26237374.550000001</v>
      </c>
    </row>
  </sheetData>
  <conditionalFormatting sqref="C2:E2 A2:B4 F2:F4 E4">
    <cfRule type="expression" dxfId="2" priority="2">
      <formula>#REF!="Verdadeiro"</formula>
    </cfRule>
  </conditionalFormatting>
  <dataValidations count="1">
    <dataValidation type="decimal" operator="greaterThanOrEqual" allowBlank="1" showErrorMessage="1" sqref="E2:F4" xr:uid="{00000000-0002-0000-0700-000000000000}">
      <formula1>0</formula1>
      <formula2>0</formula2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1155CC"/>
  </sheetPr>
  <dimension ref="A1:J32"/>
  <sheetViews>
    <sheetView showGridLines="0" zoomScale="140" zoomScaleNormal="140" workbookViewId="0">
      <pane ySplit="1" topLeftCell="A2" activePane="bottomLeft" state="frozen"/>
      <selection pane="bottomLeft" activeCell="B37" sqref="B37"/>
    </sheetView>
  </sheetViews>
  <sheetFormatPr defaultColWidth="12.85546875" defaultRowHeight="12.75" x14ac:dyDescent="0.2"/>
  <cols>
    <col min="1" max="1" width="26.7109375" customWidth="1"/>
    <col min="2" max="2" width="39.42578125" customWidth="1"/>
    <col min="3" max="3" width="15.85546875" customWidth="1"/>
    <col min="4" max="4" width="15.7109375" customWidth="1"/>
    <col min="5" max="5" width="25.5703125" customWidth="1"/>
    <col min="6" max="6" width="22.85546875" customWidth="1"/>
    <col min="7" max="7" width="20.28515625" customWidth="1"/>
    <col min="8" max="8" width="21" customWidth="1"/>
    <col min="9" max="9" width="24.140625" customWidth="1"/>
    <col min="10" max="10" width="29.42578125" customWidth="1"/>
  </cols>
  <sheetData>
    <row r="1" spans="1:10" ht="30" x14ac:dyDescent="0.2">
      <c r="A1" s="7" t="s">
        <v>283</v>
      </c>
      <c r="B1" s="7" t="s">
        <v>284</v>
      </c>
      <c r="C1" s="7" t="s">
        <v>285</v>
      </c>
      <c r="D1" s="7" t="s">
        <v>286</v>
      </c>
      <c r="E1" s="59" t="s">
        <v>287</v>
      </c>
      <c r="F1" s="7" t="s">
        <v>288</v>
      </c>
      <c r="G1" s="7" t="s">
        <v>289</v>
      </c>
      <c r="H1" s="7" t="s">
        <v>290</v>
      </c>
      <c r="I1" s="7" t="s">
        <v>291</v>
      </c>
      <c r="J1" s="7"/>
    </row>
    <row r="2" spans="1:10" ht="14.25" x14ac:dyDescent="0.2">
      <c r="A2" s="53" t="str">
        <f ca="1">IFERROR(__xludf.dummyfunction("UNIQUE(FLATTEN(
QUERY('Analítica - Imóveis Estaduais'!AB:AB, ""SELECT AB WHERE AB LIKE '%.%'""),
QUERY('Analítica - Imóveis recebidos e'!T:T, ""SELECT T WHERE T LIKE '%.%'""),
QUERY('Analítica - Imóveis Próprios'!O:O, ""SELECT O WHERE O LIKE '%.%'""),
QUE"&amp;"RY('Obras em Andamento'!C:C, ""SELECT C WHERE C LIKE '%.%'""),
QUERY('Sintética 2021'!C:C, ""SELECT C WHERE C LIKE '%.%'"")
))"),"1.2.3.2.1.01.98.10.00")</f>
        <v>1.2.3.2.1.01.98.10.00</v>
      </c>
      <c r="B2" s="53" t="str">
        <f ca="1">IFERROR(__xludf.dummyfunction("QUERY(APOIO!D:E, ""SELECT D WHERE E = '""&amp;A2&amp;""'"")"),"OUTROS BENS IMÓVEIS - USO ESPECIAL")</f>
        <v>OUTROS BENS IMÓVEIS - USO ESPECIAL</v>
      </c>
      <c r="C2" s="60">
        <f>'Analítica - Imóveis Estaduais'!$Z$2</f>
        <v>3262</v>
      </c>
      <c r="D2" s="53" t="str">
        <f>APOIO!$A$2</f>
        <v>EMATER</v>
      </c>
      <c r="E2" s="61">
        <f ca="1">IFERROR(__xludf.dummyfunction("SUM(
QUERY('Sintética 2021'!A:F, CONCATENATE(""SELECT F WHERE C="", ""'"",$A2,""'""))
)"),44042349.94)</f>
        <v>44042349.939999998</v>
      </c>
      <c r="F2" s="38">
        <f ca="1">IFERROR(__xludf.dummyfunction("SUM(
IFERROR(QUERY('Analítica - Imóveis Estaduais'!AB:AI, CONCATENATE(""SELECT AI WHERE AB="", ""'"",$A2,""'"")),0),
IFERROR(QUERY('Analítica - Imóveis recebidos e'!T:Z, CONCATENATE(""SELECT Z WHERE T="", ""'"",$A2,""'"")),0),
IFERROR(QUERY('Analítica - I"&amp;"móveis Próprios'!O:U, CONCATENATE(""SELECT U WHERE O="", ""'"",$A2,""'"")),0),
IFERROR(QUERY('Obras em Andamento'!C:F, CONCATENATE(""SELECT F WHERE C="", ""'"",$A2,""'"")),0),
)"),34024108.15)</f>
        <v>34024108.149999999</v>
      </c>
      <c r="G2" s="11" t="str">
        <f ca="1">VLOOKUP(A2,APOIO!E:F,2,FALSE())</f>
        <v>1.2.3.8.1.02.01.98.10</v>
      </c>
      <c r="H2" s="38">
        <f ca="1">IFERROR(__xludf.dummyfunction("SUM(
IFERROR(QUERY('Analítica - Imóveis Estaduais'!AB:AN, CONCATENATE(""SELECT AM WHERE AB="", ""'"",$A2,""'"")),0),
IFERROR(QUERY('Analítica - Imóveis recebidos e'!T:AD, CONCATENATE(""SELECT AD WHERE T="", ""'"",$A2,""'"")),0),
IFERROR(QUERY('Analítica -"&amp;" Imóveis Próprios'!O:Y, CONCATENATE(""SELECT Y WHERE O="", ""'"",$A2,""'"")),0),
)"),1081171.46434667)</f>
        <v>1081171.4643466701</v>
      </c>
      <c r="I2" s="38">
        <f ca="1">IFERROR(__xludf.dummyfunction("SUM(
IFERROR(QUERY('Analítica - Imóveis Estaduais'!AB:AO, CONCATENATE(""SELECT AO WHERE AB="", ""'"",$A2,""'"")),0),
IFERROR(QUERY('Analítica - Imóveis recebidos e'!T:AF, CONCATENATE(""SELECT AF WHERE T="", ""'"",$A2,""'"")),0),
IFERROR(QUERY('Analítica -"&amp;" Imóveis Próprios'!O:AA, CONCATENATE(""SELECT AA WHERE O="", ""'"",$A2,""'"")),0),
)"),33047001.6856533)</f>
        <v>33047001.685653299</v>
      </c>
      <c r="J2" s="38"/>
    </row>
    <row r="3" spans="1:10" ht="14.25" x14ac:dyDescent="0.2">
      <c r="A3" s="53" t="str">
        <f ca="1">IFERROR(__xludf.dummyfunction("""COMPUTED_VALUE"""),"1.2.3.2.1.04.01.01.00")</f>
        <v>1.2.3.2.1.04.01.01.00</v>
      </c>
      <c r="B3" s="53" t="str">
        <f ca="1">IFERROR(__xludf.dummyfunction("QUERY(APOIO!D:E, ""SELECT D WHERE E = '""&amp;A3&amp;""'"")"),"EDIFICIOS - DOMINICAIS")</f>
        <v>EDIFICIOS - DOMINICAIS</v>
      </c>
      <c r="C3" s="60">
        <f>'Analítica - Imóveis Estaduais'!$Z$2</f>
        <v>3262</v>
      </c>
      <c r="D3" s="53" t="str">
        <f>APOIO!$A$2</f>
        <v>EMATER</v>
      </c>
      <c r="E3" s="61">
        <f ca="1">IFERROR(__xludf.dummyfunction("SUM(
QUERY('Sintética 2021'!A:F, CONCATENATE(""SELECT F WHERE C="", ""'"",$A3,""'""))
)"),0)</f>
        <v>0</v>
      </c>
      <c r="F3" s="38">
        <f ca="1">IFERROR(__xludf.dummyfunction("SUM(
IFERROR(QUERY('Analítica - Imóveis Estaduais'!AB:AI, CONCATENATE(""SELECT AI WHERE AB="", ""'"",$A3,""'"")),0),
IFERROR(QUERY('Analítica - Imóveis recebidos e'!T:Z, CONCATENATE(""SELECT Z WHERE T="", ""'"",$A3,""'"")),0),
IFERROR(QUERY('Analítica - I"&amp;"móveis Próprios'!O:U, CONCATENATE(""SELECT U WHERE O="", ""'"",$A3,""'"")),0),
IFERROR(QUERY('Obras em Andamento'!C:F, CONCATENATE(""SELECT F WHERE C="", ""'"",$A3,""'"")),0),
)"),17886.024)</f>
        <v>17886.024000000001</v>
      </c>
      <c r="G3" s="11" t="str">
        <f ca="1">VLOOKUP(A3,APOIO!E:F,2,FALSE())</f>
        <v>1.2.3.8.1.02.04.01.01</v>
      </c>
      <c r="H3" s="38">
        <f ca="1">IFERROR(__xludf.dummyfunction("SUM(
IFERROR(QUERY('Analítica - Imóveis Estaduais'!AB:AN, CONCATENATE(""SELECT AM WHERE AB="", ""'"",$A3,""'"")),0),
IFERROR(QUERY('Analítica - Imóveis recebidos e'!T:AD, CONCATENATE(""SELECT AD WHERE T="", ""'"",$A3,""'"")),0),
IFERROR(QUERY('Analítica -"&amp;" Imóveis Próprios'!O:Y, CONCATENATE(""SELECT Y WHERE O="", ""'"",$A3,""'"")),0),
)"),572.352768)</f>
        <v>572.35276799999997</v>
      </c>
      <c r="I3" s="38">
        <f ca="1">IFERROR(__xludf.dummyfunction("SUM(
IFERROR(QUERY('Analítica - Imóveis Estaduais'!AB:AO, CONCATENATE(""SELECT AO WHERE AB="", ""'"",$A3,""'"")),0),
IFERROR(QUERY('Analítica - Imóveis recebidos e'!T:AF, CONCATENATE(""SELECT AF WHERE T="", ""'"",$A3,""'"")),0),
IFERROR(QUERY('Analítica -"&amp;" Imóveis Próprios'!O:AA, CONCATENATE(""SELECT AA WHERE O="", ""'"",$A3,""'"")),0),
)"),17313.671232)</f>
        <v>17313.671232000001</v>
      </c>
      <c r="J3" s="38"/>
    </row>
    <row r="4" spans="1:10" ht="14.25" x14ac:dyDescent="0.2">
      <c r="A4" s="53" t="str">
        <f ca="1">IFERROR(__xludf.dummyfunction("""COMPUTED_VALUE"""),"1.2.3.2.1.01.02.01.00")</f>
        <v>1.2.3.2.1.01.02.01.00</v>
      </c>
      <c r="B4" s="53" t="str">
        <f ca="1">IFERROR(__xludf.dummyfunction("QUERY(APOIO!D:E, ""SELECT D WHERE E = '""&amp;A4&amp;""'"")"),"SALAS E ESCRITÓRIOS - USO ESPECIAL")</f>
        <v>SALAS E ESCRITÓRIOS - USO ESPECIAL</v>
      </c>
      <c r="C4" s="60">
        <f>'Analítica - Imóveis Estaduais'!$Z$2</f>
        <v>3262</v>
      </c>
      <c r="D4" s="53" t="str">
        <f>APOIO!$A$2</f>
        <v>EMATER</v>
      </c>
      <c r="E4" s="61">
        <f ca="1">IFERROR(__xludf.dummyfunction("SUM(
QUERY('Sintética 2021'!A:F, CONCATENATE(""SELECT F WHERE C="", ""'"",$A4,""'""))
)"),0)</f>
        <v>0</v>
      </c>
      <c r="F4" s="38">
        <f ca="1">IFERROR(__xludf.dummyfunction("SUM(
IFERROR(QUERY('Analítica - Imóveis Estaduais'!AB:AI, CONCATENATE(""SELECT AI WHERE AB="", ""'"",$A4,""'"")),0),
IFERROR(QUERY('Analítica - Imóveis recebidos e'!T:Z, CONCATENATE(""SELECT Z WHERE T="", ""'"",$A4,""'"")),0),
IFERROR(QUERY('Analítica - I"&amp;"móveis Próprios'!O:U, CONCATENATE(""SELECT U WHERE O="", ""'"",$A4,""'"")),0),
IFERROR(QUERY('Obras em Andamento'!C:F, CONCATENATE(""SELECT F WHERE C="", ""'"",$A4,""'"")),0),
)"),3948366.54)</f>
        <v>3948366.54</v>
      </c>
      <c r="G4" s="11" t="str">
        <f ca="1">VLOOKUP(A4,APOIO!E:F,2,FALSE())</f>
        <v>1.2.3.8.1.02.01.02.01</v>
      </c>
      <c r="H4" s="38">
        <f ca="1">IFERROR(__xludf.dummyfunction("SUM(
IFERROR(QUERY('Analítica - Imóveis Estaduais'!AB:AN, CONCATENATE(""SELECT AM WHERE AB="", ""'"",$A4,""'"")),0),
IFERROR(QUERY('Analítica - Imóveis recebidos e'!T:AD, CONCATENATE(""SELECT AD WHERE T="", ""'"",$A4,""'"")),0),
IFERROR(QUERY('Analítica -"&amp;" Imóveis Próprios'!O:Y, CONCATENATE(""SELECT Y WHERE O="", ""'"",$A4,""'"")),0),
)"),126347.72928)</f>
        <v>126347.72928</v>
      </c>
      <c r="I4" s="38">
        <f ca="1">IFERROR(__xludf.dummyfunction("SUM(
IFERROR(QUERY('Analítica - Imóveis Estaduais'!AB:AO, CONCATENATE(""SELECT AO WHERE AB="", ""'"",$A4,""'"")),0),
IFERROR(QUERY('Analítica - Imóveis recebidos e'!T:AF, CONCATENATE(""SELECT AF WHERE T="", ""'"",$A4,""'"")),0),
IFERROR(QUERY('Analítica -"&amp;" Imóveis Próprios'!O:AA, CONCATENATE(""SELECT AA WHERE O="", ""'"",$A4,""'"")),0),
)"),3822018.81072)</f>
        <v>3822018.81072</v>
      </c>
      <c r="J4" s="38"/>
    </row>
    <row r="5" spans="1:10" ht="14.25" x14ac:dyDescent="0.2">
      <c r="A5" s="53" t="str">
        <f ca="1">IFERROR(__xludf.dummyfunction("""COMPUTED_VALUE"""),"1.2.3.2.1.01.04.01.00")</f>
        <v>1.2.3.2.1.01.04.01.00</v>
      </c>
      <c r="B5" s="53" t="str">
        <f ca="1">IFERROR(__xludf.dummyfunction("QUERY(APOIO!D:E, ""SELECT D WHERE E = '""&amp;A5&amp;""'"")"),"TERRENOS - USO ESPECIAL")</f>
        <v>TERRENOS - USO ESPECIAL</v>
      </c>
      <c r="C5" s="60">
        <f>'Analítica - Imóveis Estaduais'!$Z$2</f>
        <v>3262</v>
      </c>
      <c r="D5" s="53" t="str">
        <f>APOIO!$A$2</f>
        <v>EMATER</v>
      </c>
      <c r="E5" s="61">
        <f ca="1">IFERROR(__xludf.dummyfunction("SUM(
QUERY('Sintética 2021'!A:F, CONCATENATE(""SELECT F WHERE C="", ""'"",$A5,""'""))
)"),3261.8)</f>
        <v>3261.8</v>
      </c>
      <c r="F5" s="38">
        <f ca="1">IFERROR(__xludf.dummyfunction("SUM(
IFERROR(QUERY('Analítica - Imóveis Estaduais'!AB:AI, CONCATENATE(""SELECT AI WHERE AB="", ""'"",$A5,""'"")),0),
IFERROR(QUERY('Analítica - Imóveis recebidos e'!T:Z, CONCATENATE(""SELECT Z WHERE T="", ""'"",$A5,""'"")),0),
IFERROR(QUERY('Analítica - I"&amp;"móveis Próprios'!O:U, CONCATENATE(""SELECT U WHERE O="", ""'"",$A5,""'"")),0),
IFERROR(QUERY('Obras em Andamento'!C:F, CONCATENATE(""SELECT F WHERE C="", ""'"",$A5,""'"")),0),
)"),21009.8)</f>
        <v>21009.8</v>
      </c>
      <c r="G5" s="11" t="str">
        <f ca="1">VLOOKUP(A5,APOIO!E:F,2,FALSE())</f>
        <v>1.2.3.8.1.02.01.04.01</v>
      </c>
      <c r="H5" s="38">
        <f ca="1">IFERROR(__xludf.dummyfunction("SUM(
IFERROR(QUERY('Analítica - Imóveis Estaduais'!AB:AN, CONCATENATE(""SELECT AM WHERE AB="", ""'"",$A5,""'"")),0),
IFERROR(QUERY('Analítica - Imóveis recebidos e'!T:AD, CONCATENATE(""SELECT AD WHERE T="", ""'"",$A5,""'"")),0),
IFERROR(QUERY('Analítica -"&amp;" Imóveis Próprios'!O:Y, CONCATENATE(""SELECT Y WHERE O="", ""'"",$A5,""'"")),0),
)"),672.3136)</f>
        <v>672.31359999999995</v>
      </c>
      <c r="I5" s="38">
        <f ca="1">IFERROR(__xludf.dummyfunction("SUM(
IFERROR(QUERY('Analítica - Imóveis Estaduais'!AB:AO, CONCATENATE(""SELECT AO WHERE AB="", ""'"",$A5,""'"")),0),
IFERROR(QUERY('Analítica - Imóveis recebidos e'!T:AF, CONCATENATE(""SELECT AF WHERE T="", ""'"",$A5,""'"")),0),
IFERROR(QUERY('Analítica -"&amp;" Imóveis Próprios'!O:AA, CONCATENATE(""SELECT AA WHERE O="", ""'"",$A5,""'"")),0),
)"),20337.4864)</f>
        <v>20337.486400000002</v>
      </c>
      <c r="J5" s="38"/>
    </row>
    <row r="6" spans="1:10" ht="14.25" x14ac:dyDescent="0.2">
      <c r="A6" s="53" t="str">
        <f ca="1">IFERROR(__xludf.dummyfunction("""COMPUTED_VALUE"""),"1.2.3.2.1.01.10.01.00")</f>
        <v>1.2.3.2.1.01.10.01.00</v>
      </c>
      <c r="B6" s="53" t="str">
        <f ca="1">IFERROR(__xludf.dummyfunction("QUERY(APOIO!D:E, ""SELECT D WHERE E = '""&amp;A6&amp;""'"")"),"FAZENDAS - USO ESPECIAL")</f>
        <v>FAZENDAS - USO ESPECIAL</v>
      </c>
      <c r="C6" s="60">
        <f>'Analítica - Imóveis Estaduais'!$Z$2</f>
        <v>3262</v>
      </c>
      <c r="D6" s="53" t="str">
        <f>APOIO!$A$2</f>
        <v>EMATER</v>
      </c>
      <c r="E6" s="61">
        <f ca="1">IFERROR(__xludf.dummyfunction("SUM(
QUERY('Sintética 2021'!A:F, CONCATENATE(""SELECT F WHERE C="", ""'"",$A6,""'""))
)"),0)</f>
        <v>0</v>
      </c>
      <c r="F6" s="38">
        <f ca="1">IFERROR(__xludf.dummyfunction("SUM(
IFERROR(QUERY('Analítica - Imóveis Estaduais'!AB:AI, CONCATENATE(""SELECT AI WHERE AB="", ""'"",$A6,""'"")),0),
IFERROR(QUERY('Analítica - Imóveis recebidos e'!T:Z, CONCATENATE(""SELECT Z WHERE T="", ""'"",$A6,""'"")),0),
IFERROR(QUERY('Analítica - I"&amp;"móveis Próprios'!O:U, CONCATENATE(""SELECT U WHERE O="", ""'"",$A6,""'"")),0),
IFERROR(QUERY('Obras em Andamento'!C:F, CONCATENATE(""SELECT F WHERE C="", ""'"",$A6,""'"")),0),
)"),10138448.91)</f>
        <v>10138448.91</v>
      </c>
      <c r="G6" s="11" t="str">
        <f ca="1">VLOOKUP(A6,APOIO!E:F,2,FALSE())</f>
        <v>1.2.3.8.1.02.01.10.01</v>
      </c>
      <c r="H6" s="38">
        <f ca="1">IFERROR(__xludf.dummyfunction("SUM(
IFERROR(QUERY('Analítica - Imóveis Estaduais'!AB:AN, CONCATENATE(""SELECT AM WHERE AB="", ""'"",$A6,""'"")),0),
IFERROR(QUERY('Analítica - Imóveis recebidos e'!T:AD, CONCATENATE(""SELECT AD WHERE T="", ""'"",$A6,""'"")),0),
IFERROR(QUERY('Analítica -"&amp;" Imóveis Próprios'!O:Y, CONCATENATE(""SELECT Y WHERE O="", ""'"",$A6,""'"")),0),
)"),324430.36512)</f>
        <v>324430.36511999997</v>
      </c>
      <c r="I6" s="38">
        <f ca="1">IFERROR(__xludf.dummyfunction("SUM(
IFERROR(QUERY('Analítica - Imóveis Estaduais'!AB:AO, CONCATENATE(""SELECT AO WHERE AB="", ""'"",$A6,""'"")),0),
IFERROR(QUERY('Analítica - Imóveis recebidos e'!T:AF, CONCATENATE(""SELECT AF WHERE T="", ""'"",$A6,""'"")),0),
IFERROR(QUERY('Analítica -"&amp;" Imóveis Próprios'!O:AA, CONCATENATE(""SELECT AA WHERE O="", ""'"",$A6,""'"")),0),
)"),9814018.54488)</f>
        <v>9814018.5448800009</v>
      </c>
      <c r="J6" s="38"/>
    </row>
    <row r="7" spans="1:10" ht="14.25" x14ac:dyDescent="0.2">
      <c r="A7" s="53" t="str">
        <f ca="1">IFERROR(__xludf.dummyfunction("""COMPUTED_VALUE"""),"1.2.3.2.1.06.01.01.00")</f>
        <v>1.2.3.2.1.06.01.01.00</v>
      </c>
      <c r="B7" s="53" t="str">
        <f ca="1">IFERROR(__xludf.dummyfunction("QUERY(APOIO!D:E, ""SELECT D WHERE E = '""&amp;A7&amp;""'"")"),"OBRAS EM ANDAMENTO")</f>
        <v>OBRAS EM ANDAMENTO</v>
      </c>
      <c r="C7" s="60">
        <f>'Analítica - Imóveis Estaduais'!$Z$2</f>
        <v>3262</v>
      </c>
      <c r="D7" s="53" t="str">
        <f>APOIO!$A$2</f>
        <v>EMATER</v>
      </c>
      <c r="E7" s="61">
        <f ca="1">IFERROR(__xludf.dummyfunction("SUM(
QUERY('Sintética 2021'!A:F, CONCATENATE(""SELECT F WHERE C="", ""'"",$A7,""'""))
)"),0)</f>
        <v>0</v>
      </c>
      <c r="F7" s="38">
        <f ca="1">IFERROR(__xludf.dummyfunction("SUM(
IFERROR(QUERY('Analítica - Imóveis Estaduais'!AB:AI, CONCATENATE(""SELECT AI WHERE AB="", ""'"",$A7,""'"")),0),
IFERROR(QUERY('Analítica - Imóveis recebidos e'!T:Z, CONCATENATE(""SELECT Z WHERE T="", ""'"",$A7,""'"")),0),
IFERROR(QUERY('Analítica - I"&amp;"móveis Próprios'!O:U, CONCATENATE(""SELECT U WHERE O="", ""'"",$A7,""'"")),0),
IFERROR(QUERY('Obras em Andamento'!C:F, CONCATENATE(""SELECT F WHERE C="", ""'"",$A7,""'"")),0),
)"),0)</f>
        <v>0</v>
      </c>
      <c r="G7" s="11" t="str">
        <f ca="1">VLOOKUP(A7,APOIO!E:F,2,FALSE())</f>
        <v>1.2.3.8.1.02.06.01.01</v>
      </c>
      <c r="H7" s="38">
        <f ca="1">IFERROR(__xludf.dummyfunction("SUM(
IFERROR(QUERY('Analítica - Imóveis Estaduais'!AB:AN, CONCATENATE(""SELECT AM WHERE AB="", ""'"",$A7,""'"")),0),
IFERROR(QUERY('Analítica - Imóveis recebidos e'!T:AD, CONCATENATE(""SELECT AD WHERE T="", ""'"",$A7,""'"")),0),
IFERROR(QUERY('Analítica -"&amp;" Imóveis Próprios'!O:Y, CONCATENATE(""SELECT Y WHERE O="", ""'"",$A7,""'"")),0),
)"),0)</f>
        <v>0</v>
      </c>
      <c r="I7" s="38">
        <f ca="1">IFERROR(__xludf.dummyfunction("SUM(
IFERROR(QUERY('Analítica - Imóveis Estaduais'!AB:AO, CONCATENATE(""SELECT AO WHERE AB="", ""'"",$A7,""'"")),0),
IFERROR(QUERY('Analítica - Imóveis recebidos e'!T:AF, CONCATENATE(""SELECT AF WHERE T="", ""'"",$A7,""'"")),0),
IFERROR(QUERY('Analítica -"&amp;" Imóveis Próprios'!O:AA, CONCATENATE(""SELECT AA WHERE O="", ""'"",$A7,""'"")),0),
)"),0)</f>
        <v>0</v>
      </c>
      <c r="J7" s="38"/>
    </row>
    <row r="8" spans="1:10" ht="14.25" x14ac:dyDescent="0.2">
      <c r="A8" s="53" t="str">
        <f ca="1">IFERROR(__xludf.dummyfunction("""COMPUTED_VALUE"""),"1.2.3.2.1.06.01.02.00")</f>
        <v>1.2.3.2.1.06.01.02.00</v>
      </c>
      <c r="B8" s="53" t="str">
        <f ca="1">IFERROR(__xludf.dummyfunction("QUERY(APOIO!D:E, ""SELECT D WHERE E = '""&amp;A8&amp;""'"")"),"ESTUDOS E PROJETOS DE EDIFICAÇÕES - SCP")</f>
        <v>ESTUDOS E PROJETOS DE EDIFICAÇÕES - SCP</v>
      </c>
      <c r="C8" s="60">
        <f>'Analítica - Imóveis Estaduais'!$Z$2</f>
        <v>3262</v>
      </c>
      <c r="D8" s="53" t="str">
        <f>APOIO!$A$2</f>
        <v>EMATER</v>
      </c>
      <c r="E8" s="61">
        <f ca="1">IFERROR(__xludf.dummyfunction("SUM(
QUERY('Sintética 2021'!A:F, CONCATENATE(""SELECT F WHERE C="", ""'"",$A8,""'""))
)"),0)</f>
        <v>0</v>
      </c>
      <c r="F8" s="38">
        <f ca="1">IFERROR(__xludf.dummyfunction("SUM(
IFERROR(QUERY('Analítica - Imóveis Estaduais'!AB:AI, CONCATENATE(""SELECT AI WHERE AB="", ""'"",$A8,""'"")),0),
IFERROR(QUERY('Analítica - Imóveis recebidos e'!T:Z, CONCATENATE(""SELECT Z WHERE T="", ""'"",$A8,""'"")),0),
IFERROR(QUERY('Analítica - I"&amp;"móveis Próprios'!O:U, CONCATENATE(""SELECT U WHERE O="", ""'"",$A8,""'"")),0),
IFERROR(QUERY('Obras em Andamento'!C:F, CONCATENATE(""SELECT F WHERE C="", ""'"",$A8,""'"")),0),
)"),0)</f>
        <v>0</v>
      </c>
      <c r="G8" s="11" t="str">
        <f ca="1">VLOOKUP(A8,APOIO!E:F,2,FALSE())</f>
        <v>1.2.3.8.1.02.06.01.02</v>
      </c>
      <c r="H8" s="38">
        <f ca="1">IFERROR(__xludf.dummyfunction("SUM(
IFERROR(QUERY('Analítica - Imóveis Estaduais'!AB:AN, CONCATENATE(""SELECT AM WHERE AB="", ""'"",$A8,""'"")),0),
IFERROR(QUERY('Analítica - Imóveis recebidos e'!T:AD, CONCATENATE(""SELECT AD WHERE T="", ""'"",$A8,""'"")),0),
IFERROR(QUERY('Analítica -"&amp;" Imóveis Próprios'!O:Y, CONCATENATE(""SELECT Y WHERE O="", ""'"",$A8,""'"")),0),
)"),0)</f>
        <v>0</v>
      </c>
      <c r="I8" s="38">
        <f ca="1">IFERROR(__xludf.dummyfunction("SUM(
IFERROR(QUERY('Analítica - Imóveis Estaduais'!AB:AO, CONCATENATE(""SELECT AO WHERE AB="", ""'"",$A8,""'"")),0),
IFERROR(QUERY('Analítica - Imóveis recebidos e'!T:AF, CONCATENATE(""SELECT AF WHERE T="", ""'"",$A8,""'"")),0),
IFERROR(QUERY('Analítica -"&amp;" Imóveis Próprios'!O:AA, CONCATENATE(""SELECT AA WHERE O="", ""'"",$A8,""'"")),0),
)"),0)</f>
        <v>0</v>
      </c>
      <c r="J8" s="38"/>
    </row>
    <row r="9" spans="1:10" ht="14.25" x14ac:dyDescent="0.2">
      <c r="A9" s="53" t="str">
        <f ca="1">IFERROR(__xludf.dummyfunction("""COMPUTED_VALUE"""),"1.2.3.2.1.99.99.01.00")</f>
        <v>1.2.3.2.1.99.99.01.00</v>
      </c>
      <c r="B9" s="53" t="str">
        <f ca="1">IFERROR(__xludf.dummyfunction("QUERY(APOIO!D:E, ""SELECT D WHERE E = '""&amp;A9&amp;""'"")"),"OUTRAS OBRAS EM INSTALAÇÕES")</f>
        <v>OUTRAS OBRAS EM INSTALAÇÕES</v>
      </c>
      <c r="C9" s="60">
        <f>'Analítica - Imóveis Estaduais'!$Z$2</f>
        <v>3262</v>
      </c>
      <c r="D9" s="53" t="str">
        <f>APOIO!$A$2</f>
        <v>EMATER</v>
      </c>
      <c r="E9" s="61">
        <f ca="1">IFERROR(__xludf.dummyfunction("SUM(
QUERY('Sintética 2021'!A:F, CONCATENATE(""SELECT F WHERE C="", ""'"",$A9,""'""))
)"),0)</f>
        <v>0</v>
      </c>
      <c r="F9" s="38">
        <f ca="1">IFERROR(__xludf.dummyfunction("SUM(
IFERROR(QUERY('Analítica - Imóveis Estaduais'!AB:AI, CONCATENATE(""SELECT AI WHERE AB="", ""'"",$A9,""'"")),0),
IFERROR(QUERY('Analítica - Imóveis recebidos e'!T:Z, CONCATENATE(""SELECT Z WHERE T="", ""'"",$A9,""'"")),0),
IFERROR(QUERY('Analítica - I"&amp;"móveis Próprios'!O:U, CONCATENATE(""SELECT U WHERE O="", ""'"",$A9,""'"")),0),
IFERROR(QUERY('Obras em Andamento'!C:F, CONCATENATE(""SELECT F WHERE C="", ""'"",$A9,""'"")),0),
)"),26237374.55)</f>
        <v>26237374.550000001</v>
      </c>
      <c r="G9" s="11">
        <f ca="1">VLOOKUP(A9,APOIO!E:F,2,FALSE())</f>
        <v>0</v>
      </c>
      <c r="H9" s="38">
        <f ca="1">IFERROR(__xludf.dummyfunction("SUM(
IFERROR(QUERY('Analítica - Imóveis Estaduais'!AB:AN, CONCATENATE(""SELECT AM WHERE AB="", ""'"",$A9,""'"")),0),
IFERROR(QUERY('Analítica - Imóveis recebidos e'!T:AD, CONCATENATE(""SELECT AD WHERE T="", ""'"",$A9,""'"")),0),
IFERROR(QUERY('Analítica -"&amp;" Imóveis Próprios'!O:Y, CONCATENATE(""SELECT Y WHERE O="", ""'"",$A9,""'"")),0),
)"),0)</f>
        <v>0</v>
      </c>
      <c r="I9" s="38">
        <f ca="1">IFERROR(__xludf.dummyfunction("SUM(
IFERROR(QUERY('Analítica - Imóveis Estaduais'!AB:AO, CONCATENATE(""SELECT AO WHERE AB="", ""'"",$A9,""'"")),0),
IFERROR(QUERY('Analítica - Imóveis recebidos e'!T:AF, CONCATENATE(""SELECT AF WHERE T="", ""'"",$A9,""'"")),0),
IFERROR(QUERY('Analítica -"&amp;" Imóveis Próprios'!O:AA, CONCATENATE(""SELECT AA WHERE O="", ""'"",$A9,""'"")),0),
)"),0)</f>
        <v>0</v>
      </c>
      <c r="J9" s="38"/>
    </row>
    <row r="10" spans="1:10" ht="14.25" x14ac:dyDescent="0.2">
      <c r="A10" s="53" t="str">
        <f ca="1">IFERROR(__xludf.dummyfunction("""COMPUTED_VALUE"""),"1.2.3.2.1.01.98.09.00")</f>
        <v>1.2.3.2.1.01.98.09.00</v>
      </c>
      <c r="B10" s="53" t="str">
        <f ca="1">IFERROR(__xludf.dummyfunction("QUERY(APOIO!D:E, ""SELECT D WHERE E = '""&amp;A10&amp;""'"")"),"OUTRAS EDIFICAÇÕES - USO ESPECIAL")</f>
        <v>OUTRAS EDIFICAÇÕES - USO ESPECIAL</v>
      </c>
      <c r="C10" s="60">
        <f>'Analítica - Imóveis Estaduais'!$Z$2</f>
        <v>3262</v>
      </c>
      <c r="D10" s="53" t="str">
        <f>APOIO!$A$2</f>
        <v>EMATER</v>
      </c>
      <c r="E10" s="61">
        <f ca="1">IFERROR(__xludf.dummyfunction("SUM(
QUERY('Sintética 2021'!A:F, CONCATENATE(""SELECT F WHERE C="", ""'"",$A10,""'""))
)"),5470280.42)</f>
        <v>5470280.4199999999</v>
      </c>
      <c r="F10" s="38">
        <f ca="1">IFERROR(__xludf.dummyfunction("SUM(
IFERROR(QUERY('Analítica - Imóveis Estaduais'!AB:AI, CONCATENATE(""SELECT AI WHERE AB="", ""'"",$A10,""'"")),0),
IFERROR(QUERY('Analítica - Imóveis recebidos e'!T:Z, CONCATENATE(""SELECT Z WHERE T="", ""'"",$A10,""'"")),0),
IFERROR(QUERY('Analítica -"&amp;" Imóveis Próprios'!O:U, CONCATENATE(""SELECT U WHERE O="", ""'"",$A10,""'"")),0),
IFERROR(QUERY('Obras em Andamento'!C:F, CONCATENATE(""SELECT F WHERE C="", ""'"",$A10,""'"")),0),
)"),0)</f>
        <v>0</v>
      </c>
      <c r="G10" s="11" t="str">
        <f ca="1">VLOOKUP(A10,APOIO!E:F,2,FALSE())</f>
        <v>1.2.3.8.1.02.01.98.09</v>
      </c>
      <c r="H10" s="38">
        <f ca="1">IFERROR(__xludf.dummyfunction("SUM(
IFERROR(QUERY('Analítica - Imóveis Estaduais'!AB:AN, CONCATENATE(""SELECT AM WHERE AB="", ""'"",$A10,""'"")),0),
IFERROR(QUERY('Analítica - Imóveis recebidos e'!T:AD, CONCATENATE(""SELECT AD WHERE T="", ""'"",$A10,""'"")),0),
IFERROR(QUERY('Analítica"&amp;" - Imóveis Próprios'!O:Y, CONCATENATE(""SELECT Y WHERE O="", ""'"",$A10,""'"")),0),
)"),0)</f>
        <v>0</v>
      </c>
      <c r="I10" s="38">
        <f ca="1">IFERROR(__xludf.dummyfunction("SUM(
IFERROR(QUERY('Analítica - Imóveis Estaduais'!AB:AO, CONCATENATE(""SELECT AO WHERE AB="", ""'"",$A10,""'"")),0),
IFERROR(QUERY('Analítica - Imóveis recebidos e'!T:AF, CONCATENATE(""SELECT AF WHERE T="", ""'"",$A10,""'"")),0),
IFERROR(QUERY('Analítica"&amp;" - Imóveis Próprios'!O:AA, CONCATENATE(""SELECT AA WHERE O="", ""'"",$A10,""'"")),0),
)"),0)</f>
        <v>0</v>
      </c>
      <c r="J10" s="38"/>
    </row>
    <row r="11" spans="1:10" ht="14.25" x14ac:dyDescent="0.2">
      <c r="A11" s="53"/>
      <c r="B11" s="53" t="str">
        <f ca="1">IFERROR(__xludf.dummyfunction("QUERY(APOIO!D:E, ""SELECT D WHERE E = '""&amp;A11&amp;""'"")"),"")</f>
        <v/>
      </c>
      <c r="C11" s="60">
        <f>'Analítica - Imóveis Estaduais'!$Z$2</f>
        <v>3262</v>
      </c>
      <c r="D11" s="53" t="str">
        <f>APOIO!$A$2</f>
        <v>EMATER</v>
      </c>
      <c r="E11" s="61">
        <f ca="1">IFERROR(__xludf.dummyfunction("SUM(
QUERY('Sintética 2021'!A:F, CONCATENATE(""SELECT F WHERE C="", ""'"",$A11,""'""))
)"),0)</f>
        <v>0</v>
      </c>
      <c r="F11" s="38">
        <f ca="1">IFERROR(__xludf.dummyfunction("SUM(
IFERROR(QUERY('Analítica - Imóveis Estaduais'!AB:AI, CONCATENATE(""SELECT AI WHERE AB="", ""'"",$A11,""'"")),0),
IFERROR(QUERY('Analítica - Imóveis recebidos e'!T:Z, CONCATENATE(""SELECT Z WHERE T="", ""'"",$A11,""'"")),0),
IFERROR(QUERY('Analítica -"&amp;" Imóveis Próprios'!O:U, CONCATENATE(""SELECT U WHERE O="", ""'"",$A11,""'"")),0),
IFERROR(QUERY('Obras em Andamento'!C:F, CONCATENATE(""SELECT F WHERE C="", ""'"",$A11,""'"")),0),
)"),1350754.67)</f>
        <v>1350754.67</v>
      </c>
      <c r="G11" s="11"/>
      <c r="H11" s="38">
        <f ca="1">IFERROR(__xludf.dummyfunction("SUM(
IFERROR(QUERY('Analítica - Imóveis Estaduais'!AB:AN, CONCATENATE(""SELECT AM WHERE AB="", ""'"",$A11,""'"")),0),
IFERROR(QUERY('Analítica - Imóveis recebidos e'!T:AD, CONCATENATE(""SELECT AD WHERE T="", ""'"",$A11,""'"")),0),
IFERROR(QUERY('Analítica"&amp;" - Imóveis Próprios'!O:Y, CONCATENATE(""SELECT Y WHERE O="", ""'"",$A11,""'"")),0),
)"),43224.14944)</f>
        <v>43224.149440000001</v>
      </c>
      <c r="I11" s="38">
        <f ca="1">IFERROR(__xludf.dummyfunction("SUM(
IFERROR(QUERY('Analítica - Imóveis Estaduais'!AB:AO, CONCATENATE(""SELECT AO WHERE AB="", ""'"",$A11,""'"")),0),
IFERROR(QUERY('Analítica - Imóveis recebidos e'!T:AF, CONCATENATE(""SELECT AF WHERE T="", ""'"",$A11,""'"")),0),
IFERROR(QUERY('Analítica"&amp;" - Imóveis Próprios'!O:AA, CONCATENATE(""SELECT AA WHERE O="", ""'"",$A11,""'"")),0),
)"),1307530.52056)</f>
        <v>1307530.5205600001</v>
      </c>
      <c r="J11" s="38"/>
    </row>
    <row r="12" spans="1:10" ht="14.25" x14ac:dyDescent="0.2">
      <c r="A12" s="53"/>
      <c r="B12" s="53"/>
      <c r="C12" s="53"/>
      <c r="D12" s="53"/>
      <c r="E12" s="61"/>
      <c r="F12" s="38"/>
      <c r="G12" s="11"/>
      <c r="H12" s="38"/>
      <c r="I12" s="38"/>
      <c r="J12" s="38"/>
    </row>
    <row r="13" spans="1:10" ht="14.25" x14ac:dyDescent="0.2">
      <c r="A13" s="53"/>
      <c r="B13" s="53"/>
      <c r="C13" s="53"/>
      <c r="D13" s="53"/>
      <c r="E13" s="61">
        <f ca="1">E2+E5+E10</f>
        <v>49515892.159999996</v>
      </c>
      <c r="F13" s="38">
        <f ca="1">F2+F3+F4+F5+F6+F9+F11</f>
        <v>75737948.643999994</v>
      </c>
      <c r="G13" s="11"/>
      <c r="H13" s="38">
        <f ca="1">H2+H3+H4+H5+H6+H11</f>
        <v>1576418.3745546702</v>
      </c>
      <c r="I13" s="38">
        <f ca="1">I2+I3+I4+I5+I6+I11</f>
        <v>48028220.719445303</v>
      </c>
      <c r="J13" s="38"/>
    </row>
    <row r="14" spans="1:10" ht="14.25" x14ac:dyDescent="0.2">
      <c r="A14" s="53"/>
      <c r="B14" s="53"/>
      <c r="C14" s="53"/>
      <c r="D14" s="53"/>
      <c r="E14" s="61"/>
      <c r="F14" s="38"/>
      <c r="G14" s="11"/>
      <c r="H14" s="38"/>
      <c r="I14" s="38"/>
      <c r="J14" s="38"/>
    </row>
    <row r="21" spans="1:10" ht="30" x14ac:dyDescent="0.2">
      <c r="A21" s="7" t="s">
        <v>283</v>
      </c>
      <c r="B21" s="7" t="s">
        <v>284</v>
      </c>
      <c r="C21" s="7" t="s">
        <v>285</v>
      </c>
      <c r="D21" s="7" t="s">
        <v>286</v>
      </c>
      <c r="E21" s="59" t="s">
        <v>287</v>
      </c>
      <c r="F21" s="7" t="s">
        <v>288</v>
      </c>
      <c r="G21" s="7" t="s">
        <v>289</v>
      </c>
      <c r="H21" s="7" t="s">
        <v>290</v>
      </c>
      <c r="I21" s="7" t="s">
        <v>291</v>
      </c>
      <c r="J21" s="7" t="s">
        <v>292</v>
      </c>
    </row>
    <row r="22" spans="1:10" ht="14.25" x14ac:dyDescent="0.2">
      <c r="A22" s="53" t="str">
        <f ca="1">IFERROR(__xludf.dummyfunction("UNIQUE(FLATTEN(
QUERY('Analítica - Imóveis Estaduais'!AB:AB, ""SELECT AB WHERE AB LIKE '%.%'""),
QUERY('Analítica - Imóveis recebidos e'!T:T, ""SELECT T WHERE T LIKE '%.%'""),
QUERY('Analítica - Imóveis Próprios'!O:O, ""SELECT O WHERE O LIKE '%.%'""),
QUE"&amp;"RY('Obras em Andamento'!C:C, ""SELECT C WHERE C LIKE '%.%'""),
QUERY('Sintética 2021'!C:C, ""SELECT C WHERE C LIKE '%.%'"")
))"),"1.2.3.2.1.01.98.10.00")</f>
        <v>1.2.3.2.1.01.98.10.00</v>
      </c>
      <c r="B22" s="53" t="str">
        <f ca="1">IFERROR(__xludf.dummyfunction("QUERY(APOIO!D:E, ""SELECT D WHERE E = '""&amp;A2&amp;""'"")"),"OUTROS BENS IMÓVEIS - USO ESPECIAL")</f>
        <v>OUTROS BENS IMÓVEIS - USO ESPECIAL</v>
      </c>
      <c r="C22" s="60">
        <f>'Analítica - Imóveis Estaduais'!$Z$2</f>
        <v>3262</v>
      </c>
      <c r="D22" s="53" t="str">
        <f>APOIO!$A$2</f>
        <v>EMATER</v>
      </c>
      <c r="E22" s="61">
        <f ca="1">IFERROR(__xludf.dummyfunction("SUM(
QUERY('Sintética 2021'!A:F, CONCATENATE(""SELECT F WHERE C="", ""'"",$A2,""'""))
)"),44042349.94)</f>
        <v>44042349.939999998</v>
      </c>
      <c r="F22" s="62">
        <v>33143814.420000002</v>
      </c>
      <c r="G22" s="11" t="str">
        <f ca="1">VLOOKUP(A22,APOIO!E:F,2,FALSE())</f>
        <v>1.2.3.8.1.02.01.98.10</v>
      </c>
      <c r="H22" s="38">
        <f ca="1">IFERROR(__xludf.dummyfunction("SUM(
IFERROR(QUERY('Analítica - Imóveis Estaduais'!AB:AN, CONCATENATE(""SELECT AM WHERE AB="", ""'"",$A2,""'"")),0),
IFERROR(QUERY('Analítica - Imóveis recebidos e'!T:AD, CONCATENATE(""SELECT AD WHERE T="", ""'"",$A2,""'"")),0),
IFERROR(QUERY('Analítica -"&amp;" Imóveis Próprios'!O:Y, CONCATENATE(""SELECT Y WHERE O="", ""'"",$A2,""'"")),0),
)"),1081171.46434667)</f>
        <v>1081171.4643466701</v>
      </c>
      <c r="I22" s="38">
        <f ca="1">IFERROR(__xludf.dummyfunction("SUM(
IFERROR(QUERY('Analítica - Imóveis Estaduais'!AB:AO, CONCATENATE(""SELECT AO WHERE AB="", ""'"",$A2,""'"")),0),
IFERROR(QUERY('Analítica - Imóveis recebidos e'!T:AF, CONCATENATE(""SELECT AF WHERE T="", ""'"",$A2,""'"")),0),
IFERROR(QUERY('Analítica -"&amp;" Imóveis Próprios'!O:AA, CONCATENATE(""SELECT AA WHERE O="", ""'"",$A2,""'"")),0),
)"),33047001.6856533)</f>
        <v>33047001.685653299</v>
      </c>
      <c r="J22" s="63">
        <v>707810.45</v>
      </c>
    </row>
    <row r="23" spans="1:10" ht="14.25" x14ac:dyDescent="0.2">
      <c r="A23" s="53" t="str">
        <f ca="1">IFERROR(__xludf.dummyfunction("""COMPUTED_VALUE"""),"1.2.3.2.1.04.01.01.00")</f>
        <v>1.2.3.2.1.04.01.01.00</v>
      </c>
      <c r="B23" s="53" t="str">
        <f ca="1">IFERROR(__xludf.dummyfunction("QUERY(APOIO!D:E, ""SELECT D WHERE E = '""&amp;A3&amp;""'"")"),"EDIFICIOS - DOMINICAIS")</f>
        <v>EDIFICIOS - DOMINICAIS</v>
      </c>
      <c r="C23" s="60">
        <f>'Analítica - Imóveis Estaduais'!$Z$2</f>
        <v>3262</v>
      </c>
      <c r="D23" s="53" t="str">
        <f>APOIO!$A$2</f>
        <v>EMATER</v>
      </c>
      <c r="E23" s="61">
        <f ca="1">IFERROR(__xludf.dummyfunction("SUM(
QUERY('Sintética 2021'!A:F, CONCATENATE(""SELECT F WHERE C="", ""'"",$A3,""'""))
)"),0)</f>
        <v>0</v>
      </c>
      <c r="F23" s="64">
        <f ca="1">IFERROR(__xludf.dummyfunction("SUM(
IFERROR(QUERY('Analítica - Imóveis Estaduais'!AB:AI, CONCATENATE(""SELECT AI WHERE AB="", ""'"",$A3,""'"")),0),
IFERROR(QUERY('Analítica - Imóveis recebidos e'!T:Z, CONCATENATE(""SELECT Z WHERE T="", ""'"",$A3,""'"")),0),
IFERROR(QUERY('Analítica - I"&amp;"móveis Próprios'!O:U, CONCATENATE(""SELECT U WHERE O="", ""'"",$A3,""'"")),0),
IFERROR(QUERY('Obras em Andamento'!C:F, CONCATENATE(""SELECT F WHERE C="", ""'"",$A3,""'"")),0),
)"),17886.024)</f>
        <v>17886.024000000001</v>
      </c>
      <c r="G23" s="11" t="str">
        <f ca="1">VLOOKUP(A23,APOIO!E:F,2,FALSE())</f>
        <v>1.2.3.8.1.02.04.01.01</v>
      </c>
      <c r="H23" s="38">
        <f ca="1">IFERROR(__xludf.dummyfunction("SUM(
IFERROR(QUERY('Analítica - Imóveis Estaduais'!AB:AN, CONCATENATE(""SELECT AM WHERE AB="", ""'"",$A3,""'"")),0),
IFERROR(QUERY('Analítica - Imóveis recebidos e'!T:AD, CONCATENATE(""SELECT AD WHERE T="", ""'"",$A3,""'"")),0),
IFERROR(QUERY('Analítica -"&amp;" Imóveis Próprios'!O:Y, CONCATENATE(""SELECT Y WHERE O="", ""'"",$A3,""'"")),0),
)"),572.352768)</f>
        <v>572.35276799999997</v>
      </c>
      <c r="I23" s="38">
        <f ca="1">IFERROR(__xludf.dummyfunction("SUM(
IFERROR(QUERY('Analítica - Imóveis Estaduais'!AB:AO, CONCATENATE(""SELECT AO WHERE AB="", ""'"",$A3,""'"")),0),
IFERROR(QUERY('Analítica - Imóveis recebidos e'!T:AF, CONCATENATE(""SELECT AF WHERE T="", ""'"",$A3,""'"")),0),
IFERROR(QUERY('Analítica -"&amp;" Imóveis Próprios'!O:AA, CONCATENATE(""SELECT AA WHERE O="", ""'"",$A3,""'"")),0),
)"),17313.671232)</f>
        <v>17313.671232000001</v>
      </c>
      <c r="J23" s="63">
        <f ca="1">IFERROR(__xludf.dummyfunction("SUM(
IFERROR(QUERY('Analítica - Imóveis Estaduais'!AB:AO, CONCATENATE(""SELECT AO WHERE AB="", ""'"",$A3,""'"")),0),
IFERROR(QUERY('Analítica - Imóveis recebidos e'!T:AF, CONCATENATE(""SELECT AF WHERE T="", ""'"",$A3,""'"")),0),
IFERROR(QUERY('Analítica -"&amp;" Imóveis Próprios'!O:AA, CONCATENATE(""SELECT AA WHERE O="", ""'"",$A3,""'"")),0),
)"),17313.671232)</f>
        <v>17313.671232000001</v>
      </c>
    </row>
    <row r="24" spans="1:10" ht="14.25" x14ac:dyDescent="0.2">
      <c r="A24" s="65" t="str">
        <f ca="1">IFERROR(__xludf.dummyfunction("""COMPUTED_VALUE"""),"1.2.3.2.1.01.02.01.00")</f>
        <v>1.2.3.2.1.01.02.01.00</v>
      </c>
      <c r="B24" s="53" t="str">
        <f ca="1">IFERROR(__xludf.dummyfunction("QUERY(APOIO!D:E, ""SELECT D WHERE E = '""&amp;A4&amp;""'"")"),"SALAS E ESCRITÓRIOS - USO ESPECIAL")</f>
        <v>SALAS E ESCRITÓRIOS - USO ESPECIAL</v>
      </c>
      <c r="C24" s="60">
        <f>'Analítica - Imóveis Estaduais'!$Z$2</f>
        <v>3262</v>
      </c>
      <c r="D24" s="53" t="str">
        <f>APOIO!$A$2</f>
        <v>EMATER</v>
      </c>
      <c r="E24" s="61">
        <f ca="1">IFERROR(__xludf.dummyfunction("SUM(
QUERY('Sintética 2021'!A:F, CONCATENATE(""SELECT F WHERE C="", ""'"",$A4,""'""))
)"),0)</f>
        <v>0</v>
      </c>
      <c r="F24" s="64">
        <v>5267854.8499999996</v>
      </c>
      <c r="G24" s="11" t="str">
        <f ca="1">VLOOKUP(A24,APOIO!E:F,2,FALSE())</f>
        <v>1.2.3.8.1.02.01.02.01</v>
      </c>
      <c r="H24" s="38">
        <f ca="1">IFERROR(__xludf.dummyfunction("SUM(
IFERROR(QUERY('Analítica - Imóveis Estaduais'!AB:AN, CONCATENATE(""SELECT AM WHERE AB="", ""'"",$A4,""'"")),0),
IFERROR(QUERY('Analítica - Imóveis recebidos e'!T:AD, CONCATENATE(""SELECT AD WHERE T="", ""'"",$A4,""'"")),0),
IFERROR(QUERY('Analítica -"&amp;" Imóveis Próprios'!O:Y, CONCATENATE(""SELECT Y WHERE O="", ""'"",$A4,""'"")),0),
)"),126347.72928)</f>
        <v>126347.72928</v>
      </c>
      <c r="I24" s="38">
        <f ca="1">IFERROR(__xludf.dummyfunction("SUM(
IFERROR(QUERY('Analítica - Imóveis Estaduais'!AB:AO, CONCATENATE(""SELECT AO WHERE AB="", ""'"",$A4,""'"")),0),
IFERROR(QUERY('Analítica - Imóveis recebidos e'!T:AF, CONCATENATE(""SELECT AF WHERE T="", ""'"",$A4,""'"")),0),
IFERROR(QUERY('Analítica -"&amp;" Imóveis Próprios'!O:AA, CONCATENATE(""SELECT AA WHERE O="", ""'"",$A4,""'"")),0),
)"),3822018.81072)</f>
        <v>3822018.81072</v>
      </c>
      <c r="J24" s="63">
        <v>38587307.07</v>
      </c>
    </row>
    <row r="25" spans="1:10" ht="14.25" x14ac:dyDescent="0.2">
      <c r="A25" s="53" t="str">
        <f ca="1">IFERROR(__xludf.dummyfunction("""COMPUTED_VALUE"""),"1.2.3.2.1.01.04.01.00")</f>
        <v>1.2.3.2.1.01.04.01.00</v>
      </c>
      <c r="B25" s="53" t="str">
        <f ca="1">IFERROR(__xludf.dummyfunction("QUERY(APOIO!D:E, ""SELECT D WHERE E = '""&amp;A5&amp;""'"")"),"TERRENOS - USO ESPECIAL")</f>
        <v>TERRENOS - USO ESPECIAL</v>
      </c>
      <c r="C25" s="60">
        <f>'Analítica - Imóveis Estaduais'!$Z$2</f>
        <v>3262</v>
      </c>
      <c r="D25" s="53" t="str">
        <f>APOIO!$A$2</f>
        <v>EMATER</v>
      </c>
      <c r="E25" s="61">
        <f ca="1">IFERROR(__xludf.dummyfunction("SUM(
QUERY('Sintética 2021'!A:F, CONCATENATE(""SELECT F WHERE C="", ""'"",$A5,""'""))
)"),3261.8)</f>
        <v>3261.8</v>
      </c>
      <c r="F25" s="64">
        <f ca="1">IFERROR(__xludf.dummyfunction("SUM(
IFERROR(QUERY('Analítica - Imóveis Estaduais'!AB:AI, CONCATENATE(""SELECT AI WHERE AB="", ""'"",$A5,""'"")),0),
IFERROR(QUERY('Analítica - Imóveis recebidos e'!T:Z, CONCATENATE(""SELECT Z WHERE T="", ""'"",$A5,""'"")),0),
IFERROR(QUERY('Analítica - I"&amp;"móveis Próprios'!O:U, CONCATENATE(""SELECT U WHERE O="", ""'"",$A5,""'"")),0),
IFERROR(QUERY('Obras em Andamento'!C:F, CONCATENATE(""SELECT F WHERE C="", ""'"",$A5,""'"")),0),
)"),21009.8)</f>
        <v>21009.8</v>
      </c>
      <c r="G25" s="11" t="str">
        <f ca="1">VLOOKUP(A25,APOIO!E:F,2,FALSE())</f>
        <v>1.2.3.8.1.02.01.04.01</v>
      </c>
      <c r="H25" s="38">
        <f ca="1">IFERROR(__xludf.dummyfunction("SUM(
IFERROR(QUERY('Analítica - Imóveis Estaduais'!AB:AN, CONCATENATE(""SELECT AM WHERE AB="", ""'"",$A5,""'"")),0),
IFERROR(QUERY('Analítica - Imóveis recebidos e'!T:AD, CONCATENATE(""SELECT AD WHERE T="", ""'"",$A5,""'"")),0),
IFERROR(QUERY('Analítica -"&amp;" Imóveis Próprios'!O:Y, CONCATENATE(""SELECT Y WHERE O="", ""'"",$A5,""'"")),0),
)"),672.3136)</f>
        <v>672.31359999999995</v>
      </c>
      <c r="I25" s="38">
        <f ca="1">IFERROR(__xludf.dummyfunction("SUM(
IFERROR(QUERY('Analítica - Imóveis Estaduais'!AB:AO, CONCATENATE(""SELECT AO WHERE AB="", ""'"",$A5,""'"")),0),
IFERROR(QUERY('Analítica - Imóveis recebidos e'!T:AF, CONCATENATE(""SELECT AF WHERE T="", ""'"",$A5,""'"")),0),
IFERROR(QUERY('Analítica -"&amp;" Imóveis Próprios'!O:AA, CONCATENATE(""SELECT AA WHERE O="", ""'"",$A5,""'"")),0),
)"),20337.4864)</f>
        <v>20337.486400000002</v>
      </c>
      <c r="J25" s="63">
        <v>30049.57</v>
      </c>
    </row>
    <row r="26" spans="1:10" ht="14.25" x14ac:dyDescent="0.2">
      <c r="A26" s="53" t="str">
        <f ca="1">IFERROR(__xludf.dummyfunction("""COMPUTED_VALUE"""),"1.2.3.2.1.01.10.01.00")</f>
        <v>1.2.3.2.1.01.10.01.00</v>
      </c>
      <c r="B26" s="53" t="str">
        <f ca="1">IFERROR(__xludf.dummyfunction("QUERY(APOIO!D:E, ""SELECT D WHERE E = '""&amp;A6&amp;""'"")"),"FAZENDAS - USO ESPECIAL")</f>
        <v>FAZENDAS - USO ESPECIAL</v>
      </c>
      <c r="C26" s="60">
        <f>'Analítica - Imóveis Estaduais'!$Z$2</f>
        <v>3262</v>
      </c>
      <c r="D26" s="53" t="str">
        <f>APOIO!$A$2</f>
        <v>EMATER</v>
      </c>
      <c r="E26" s="61">
        <f ca="1">IFERROR(__xludf.dummyfunction("SUM(
QUERY('Sintética 2021'!A:F, CONCATENATE(""SELECT F WHERE C="", ""'"",$A6,""'""))
)"),0)</f>
        <v>0</v>
      </c>
      <c r="F26" s="64">
        <v>10169715.27</v>
      </c>
      <c r="G26" s="11" t="str">
        <f ca="1">VLOOKUP(A26,APOIO!E:F,2,FALSE())</f>
        <v>1.2.3.8.1.02.01.10.01</v>
      </c>
      <c r="H26" s="38">
        <f ca="1">IFERROR(__xludf.dummyfunction("SUM(
IFERROR(QUERY('Analítica - Imóveis Estaduais'!AB:AN, CONCATENATE(""SELECT AM WHERE AB="", ""'"",$A6,""'"")),0),
IFERROR(QUERY('Analítica - Imóveis recebidos e'!T:AD, CONCATENATE(""SELECT AD WHERE T="", ""'"",$A6,""'"")),0),
IFERROR(QUERY('Analítica -"&amp;" Imóveis Próprios'!O:Y, CONCATENATE(""SELECT Y WHERE O="", ""'"",$A6,""'"")),0),
)"),324430.36512)</f>
        <v>324430.36511999997</v>
      </c>
      <c r="I26" s="38">
        <f ca="1">IFERROR(__xludf.dummyfunction("SUM(
IFERROR(QUERY('Analítica - Imóveis Estaduais'!AB:AO, CONCATENATE(""SELECT AO WHERE AB="", ""'"",$A6,""'"")),0),
IFERROR(QUERY('Analítica - Imóveis recebidos e'!T:AF, CONCATENATE(""SELECT AF WHERE T="", ""'"",$A6,""'"")),0),
IFERROR(QUERY('Analítica -"&amp;" Imóveis Próprios'!O:AA, CONCATENATE(""SELECT AA WHERE O="", ""'"",$A6,""'"")),0),
)"),9814018.54488)</f>
        <v>9814018.5448800009</v>
      </c>
      <c r="J26" s="63">
        <v>10169715.27</v>
      </c>
    </row>
    <row r="27" spans="1:10" ht="14.25" x14ac:dyDescent="0.2">
      <c r="A27" s="53" t="str">
        <f ca="1">IFERROR(__xludf.dummyfunction("""COMPUTED_VALUE"""),"1.2.3.2.1.99.99.01.00")</f>
        <v>1.2.3.2.1.99.99.01.00</v>
      </c>
      <c r="B27" s="53" t="str">
        <f ca="1">IFERROR(__xludf.dummyfunction("QUERY(APOIO!D:E, ""SELECT D WHERE E = '""&amp;A9&amp;""'"")"),"OUTRAS OBRAS EM INSTALAÇÕES")</f>
        <v>OUTRAS OBRAS EM INSTALAÇÕES</v>
      </c>
      <c r="C27" s="60">
        <f>'Analítica - Imóveis Estaduais'!$Z$2</f>
        <v>3262</v>
      </c>
      <c r="D27" s="53" t="str">
        <f>APOIO!$A$2</f>
        <v>EMATER</v>
      </c>
      <c r="E27" s="61">
        <f ca="1">IFERROR(__xludf.dummyfunction("SUM(
QUERY('Sintética 2021'!A:F, CONCATENATE(""SELECT F WHERE C="", ""'"",$A9,""'""))
)"),0)</f>
        <v>0</v>
      </c>
      <c r="F27" s="64">
        <f ca="1">IFERROR(__xludf.dummyfunction("SUM(
IFERROR(QUERY('Analítica - Imóveis Estaduais'!AB:AI, CONCATENATE(""SELECT AI WHERE AB="", ""'"",$A9,""'"")),0),
IFERROR(QUERY('Analítica - Imóveis recebidos e'!T:Z, CONCATENATE(""SELECT Z WHERE T="", ""'"",$A9,""'"")),0),
IFERROR(QUERY('Analítica - I"&amp;"móveis Próprios'!O:U, CONCATENATE(""SELECT U WHERE O="", ""'"",$A9,""'"")),0),
IFERROR(QUERY('Obras em Andamento'!C:F, CONCATENATE(""SELECT F WHERE C="", ""'"",$A9,""'"")),0),
)"),26237374.55)</f>
        <v>26237374.550000001</v>
      </c>
      <c r="G27" s="11"/>
      <c r="H27" s="38">
        <f ca="1">IFERROR(__xludf.dummyfunction("SUM(
IFERROR(QUERY('Analítica - Imóveis Estaduais'!AB:AN, CONCATENATE(""SELECT AM WHERE AB="", ""'"",$A9,""'"")),0),
IFERROR(QUERY('Analítica - Imóveis recebidos e'!T:AD, CONCATENATE(""SELECT AD WHERE T="", ""'"",$A9,""'"")),0),
IFERROR(QUERY('Analítica -"&amp;" Imóveis Próprios'!O:Y, CONCATENATE(""SELECT Y WHERE O="", ""'"",$A9,""'"")),0),
)"),0)</f>
        <v>0</v>
      </c>
      <c r="I27" s="38">
        <v>26237374.550000001</v>
      </c>
      <c r="J27" s="63">
        <v>26237374.550000001</v>
      </c>
    </row>
    <row r="28" spans="1:10" ht="14.25" x14ac:dyDescent="0.2">
      <c r="A28" s="53" t="str">
        <f ca="1">IFERROR(__xludf.dummyfunction("""COMPUTED_VALUE"""),"1.2.3.2.1.01.98.09.00")</f>
        <v>1.2.3.2.1.01.98.09.00</v>
      </c>
      <c r="B28" s="53" t="str">
        <f ca="1">IFERROR(__xludf.dummyfunction("QUERY(APOIO!D:E, ""SELECT D WHERE E = '""&amp;A10&amp;""'"")"),"OUTRAS EDIFICAÇÕES - USO ESPECIAL")</f>
        <v>OUTRAS EDIFICAÇÕES - USO ESPECIAL</v>
      </c>
      <c r="C28" s="60">
        <f>'Analítica - Imóveis Estaduais'!$Z$2</f>
        <v>3262</v>
      </c>
      <c r="D28" s="53" t="str">
        <f>APOIO!$A$2</f>
        <v>EMATER</v>
      </c>
      <c r="E28" s="61">
        <f ca="1">IFERROR(__xludf.dummyfunction("SUM(
QUERY('Sintética 2021'!A:F, CONCATENATE(""SELECT F WHERE C="", ""'"",$A10,""'""))
)"),5470280.42)</f>
        <v>5470280.4199999999</v>
      </c>
      <c r="F28" s="64">
        <f ca="1">IFERROR(__xludf.dummyfunction("SUM(
IFERROR(QUERY('Analítica - Imóveis Estaduais'!AB:AI, CONCATENATE(""SELECT AI WHERE AB="", ""'"",$A10,""'"")),0),
IFERROR(QUERY('Analítica - Imóveis recebidos e'!T:Z, CONCATENATE(""SELECT Z WHERE T="", ""'"",$A10,""'"")),0),
IFERROR(QUERY('Analítica -"&amp;" Imóveis Próprios'!O:U, CONCATENATE(""SELECT U WHERE O="", ""'"",$A10,""'"")),0),
IFERROR(QUERY('Obras em Andamento'!C:F, CONCATENATE(""SELECT F WHERE C="", ""'"",$A10,""'"")),0),
)"),0)</f>
        <v>0</v>
      </c>
      <c r="G28" s="11"/>
      <c r="H28" s="38">
        <f ca="1">IFERROR(__xludf.dummyfunction("SUM(
IFERROR(QUERY('Analítica - Imóveis Estaduais'!AB:AN, CONCATENATE(""SELECT AM WHERE AB="", ""'"",$A10,""'"")),0),
IFERROR(QUERY('Analítica - Imóveis recebidos e'!T:AD, CONCATENATE(""SELECT AD WHERE T="", ""'"",$A10,""'"")),0),
IFERROR(QUERY('Analítica"&amp;" - Imóveis Próprios'!O:Y, CONCATENATE(""SELECT Y WHERE O="", ""'"",$A10,""'"")),0),
)"),0)</f>
        <v>0</v>
      </c>
      <c r="I28" s="38">
        <f ca="1">IFERROR(__xludf.dummyfunction("SUM(
IFERROR(QUERY('Analítica - Imóveis Estaduais'!AB:AO, CONCATENATE(""SELECT AO WHERE AB="", ""'"",$A10,""'"")),0),
IFERROR(QUERY('Analítica - Imóveis recebidos e'!T:AF, CONCATENATE(""SELECT AF WHERE T="", ""'"",$A10,""'"")),0),
IFERROR(QUERY('Analítica"&amp;" - Imóveis Próprios'!O:AA, CONCATENATE(""SELECT AA WHERE O="", ""'"",$A10,""'"")),0),
)"),0)</f>
        <v>0</v>
      </c>
      <c r="J28" s="63">
        <f ca="1">IFERROR(__xludf.dummyfunction("SUM(
IFERROR(QUERY('Analítica - Imóveis Estaduais'!AB:AO, CONCATENATE(""SELECT AO WHERE AB="", ""'"",$A10,""'"")),0),
IFERROR(QUERY('Analítica - Imóveis recebidos e'!T:AF, CONCATENATE(""SELECT AF WHERE T="", ""'"",$A10,""'"")),0),
IFERROR(QUERY('Analítica"&amp;" - Imóveis Próprios'!O:AA, CONCATENATE(""SELECT AA WHERE O="", ""'"",$A10,""'"")),0),
)"),0)</f>
        <v>0</v>
      </c>
    </row>
    <row r="29" spans="1:10" ht="14.25" x14ac:dyDescent="0.2">
      <c r="A29" s="53"/>
      <c r="B29" s="53" t="str">
        <f ca="1">IFERROR(__xludf.dummyfunction("QUERY(APOIO!D:E, ""SELECT D WHERE E = '""&amp;A11&amp;""'"")"),"")</f>
        <v/>
      </c>
      <c r="C29" s="60"/>
      <c r="D29" s="53"/>
      <c r="E29" s="61"/>
      <c r="F29" s="63"/>
      <c r="G29" s="11"/>
      <c r="H29" s="38"/>
      <c r="I29" s="38"/>
      <c r="J29" s="63"/>
    </row>
    <row r="30" spans="1:10" ht="14.25" x14ac:dyDescent="0.2">
      <c r="A30" s="53"/>
      <c r="B30" s="53"/>
      <c r="C30" s="53"/>
      <c r="D30" s="53"/>
      <c r="E30" s="61"/>
      <c r="F30" s="63"/>
      <c r="G30" s="11"/>
      <c r="H30" s="38"/>
      <c r="I30" s="38"/>
      <c r="J30" s="63"/>
    </row>
    <row r="31" spans="1:10" ht="14.25" x14ac:dyDescent="0.2">
      <c r="A31" s="53"/>
      <c r="B31" s="53"/>
      <c r="C31" s="53"/>
      <c r="D31" s="53"/>
      <c r="E31" s="61">
        <f ca="1">E22+E25+E28</f>
        <v>49515892.159999996</v>
      </c>
      <c r="F31" s="63">
        <f ca="1">F22+F23+F24+F25+F26+F27</f>
        <v>74857654.91399999</v>
      </c>
      <c r="G31" s="11"/>
      <c r="H31" s="38">
        <f ca="1">H22+H23+H24+H25+H26</f>
        <v>1533194.2251146701</v>
      </c>
      <c r="I31" s="38">
        <f ca="1">I22+I23+I24+I25+I26+I27</f>
        <v>72958064.748885304</v>
      </c>
      <c r="J31" s="63"/>
    </row>
    <row r="32" spans="1:10" ht="14.25" x14ac:dyDescent="0.2">
      <c r="F32" s="30"/>
      <c r="J32" s="63">
        <f ca="1">J22+J23+J24+J25+J26+J27</f>
        <v>75749570.581231996</v>
      </c>
    </row>
  </sheetData>
  <conditionalFormatting sqref="A2:A4 B2:J14 B22:E22 G22:I22 A22:A24 J22:J32 B23:I31">
    <cfRule type="expression" dxfId="1" priority="2">
      <formula>#REF!="Verdadeiro"</formula>
    </cfRule>
  </conditionalFormatting>
  <conditionalFormatting sqref="G14">
    <cfRule type="expression" dxfId="0" priority="3">
      <formula>LEN(TRIM(G14))&gt;0</formula>
    </cfRule>
  </conditionalFormatting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Analítica - Imóveis Estaduais</vt:lpstr>
      <vt:lpstr>Analítica - Imóveis recebidos e</vt:lpstr>
      <vt:lpstr>Analítica - Imóveis Próprios</vt:lpstr>
      <vt:lpstr>Analitica- Próprios Fazenda</vt:lpstr>
      <vt:lpstr>Analitica - Terrenos</vt:lpstr>
      <vt:lpstr>Analitica - Centrer</vt:lpstr>
      <vt:lpstr>Analítica - Imóveis Próprios Ce</vt:lpstr>
      <vt:lpstr>Obras em Andamento</vt:lpstr>
      <vt:lpstr>Sintética 20212022</vt:lpstr>
      <vt:lpstr>Arquivo para SCG</vt:lpstr>
      <vt:lpstr>APOIO</vt:lpstr>
      <vt:lpstr>Sintética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Luiza Do Carmo</dc:creator>
  <dc:description/>
  <cp:lastModifiedBy>Giovanna Luiza do Carmo</cp:lastModifiedBy>
  <cp:revision>13</cp:revision>
  <dcterms:created xsi:type="dcterms:W3CDTF">2024-06-03T12:59:00Z</dcterms:created>
  <dcterms:modified xsi:type="dcterms:W3CDTF">2024-06-24T18:52:48Z</dcterms:modified>
  <dc:language>pt-BR</dc:language>
</cp:coreProperties>
</file>